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5150" windowHeight="3000" activeTab="4"/>
  </bookViews>
  <sheets>
    <sheet name="Instrucciones" sheetId="8" r:id="rId1"/>
    <sheet name="Tarjetas" sheetId="1" r:id="rId2"/>
    <sheet name="Libro Compra" sheetId="2" r:id="rId3"/>
    <sheet name="Libro Venta" sheetId="3" r:id="rId4"/>
    <sheet name="Diario y Comprobación Saldos" sheetId="9" r:id="rId5"/>
  </sheets>
  <calcPr calcId="162913"/>
</workbook>
</file>

<file path=xl/calcChain.xml><?xml version="1.0" encoding="utf-8"?>
<calcChain xmlns="http://schemas.openxmlformats.org/spreadsheetml/2006/main">
  <c r="H52" i="9" l="1"/>
  <c r="G51" i="9"/>
  <c r="H48" i="9"/>
  <c r="G47" i="9"/>
  <c r="H45" i="9"/>
  <c r="G44" i="9"/>
  <c r="G43" i="9"/>
  <c r="F44" i="9"/>
  <c r="E44" i="9"/>
  <c r="L11" i="1"/>
  <c r="J11" i="1"/>
  <c r="H11" i="1"/>
  <c r="J10" i="3"/>
  <c r="I10" i="3"/>
  <c r="H10" i="3"/>
  <c r="H41" i="9"/>
  <c r="G40" i="9"/>
  <c r="G39" i="9"/>
  <c r="L10" i="1"/>
  <c r="J10" i="1"/>
  <c r="H10" i="1"/>
  <c r="J9" i="2"/>
  <c r="K9" i="2" s="1"/>
  <c r="I9" i="2"/>
  <c r="G29" i="9"/>
  <c r="H30" i="9" s="1"/>
  <c r="G25" i="9"/>
  <c r="G32" i="9" s="1"/>
  <c r="H27" i="9"/>
  <c r="H26" i="9"/>
  <c r="F26" i="9"/>
  <c r="E26" i="9"/>
  <c r="L9" i="3"/>
  <c r="L9" i="1"/>
  <c r="K9" i="1"/>
  <c r="H9" i="1"/>
  <c r="J9" i="3"/>
  <c r="I9" i="3"/>
  <c r="H9" i="3"/>
  <c r="G18" i="9"/>
  <c r="F19" i="9"/>
  <c r="E19" i="9"/>
  <c r="L8" i="1"/>
  <c r="J8" i="1"/>
  <c r="H8" i="1"/>
  <c r="K8" i="2"/>
  <c r="J8" i="2"/>
  <c r="I8" i="2"/>
  <c r="L7" i="1"/>
  <c r="J7" i="1"/>
  <c r="H7" i="1"/>
  <c r="H16" i="9"/>
  <c r="G15" i="9"/>
  <c r="G14" i="9"/>
  <c r="F15" i="9"/>
  <c r="E15" i="9"/>
  <c r="K7" i="2"/>
  <c r="J7" i="2"/>
  <c r="I7" i="2"/>
  <c r="L14" i="3"/>
  <c r="G36" i="9" l="1"/>
  <c r="H37" i="9" s="1"/>
  <c r="H33" i="9"/>
  <c r="P8" i="9" s="1"/>
  <c r="H20" i="9"/>
  <c r="G22" i="9" s="1"/>
  <c r="H23" i="9" s="1"/>
  <c r="G19" i="9"/>
  <c r="G10" i="9"/>
  <c r="H11" i="9" s="1"/>
  <c r="H7" i="9"/>
  <c r="R14" i="9"/>
  <c r="P14" i="9"/>
  <c r="O14" i="9"/>
  <c r="N14" i="9"/>
  <c r="R13" i="9"/>
  <c r="P13" i="9"/>
  <c r="O13" i="9"/>
  <c r="N13" i="9"/>
  <c r="R12" i="9"/>
  <c r="P12" i="9"/>
  <c r="O12" i="9"/>
  <c r="N12" i="9"/>
  <c r="R11" i="9"/>
  <c r="P11" i="9"/>
  <c r="O11" i="9"/>
  <c r="N11" i="9"/>
  <c r="R10" i="9"/>
  <c r="P10" i="9"/>
  <c r="O10" i="9"/>
  <c r="N10" i="9"/>
  <c r="R9" i="9"/>
  <c r="P9" i="9"/>
  <c r="O9" i="9"/>
  <c r="N9" i="9"/>
  <c r="F90" i="9"/>
  <c r="F89" i="9"/>
  <c r="E89" i="9"/>
  <c r="F88" i="9"/>
  <c r="E88" i="9"/>
  <c r="F85" i="9"/>
  <c r="E85" i="9"/>
  <c r="F84" i="9"/>
  <c r="E84" i="9"/>
  <c r="F81" i="9"/>
  <c r="E81" i="9"/>
  <c r="F80" i="9"/>
  <c r="E80" i="9"/>
  <c r="F78" i="9"/>
  <c r="F77" i="9"/>
  <c r="E77" i="9"/>
  <c r="F76" i="9"/>
  <c r="E76" i="9"/>
  <c r="F75" i="9"/>
  <c r="E74" i="9"/>
  <c r="F74" i="9"/>
  <c r="F73" i="9"/>
  <c r="E73" i="9"/>
  <c r="F72" i="9"/>
  <c r="E72" i="9"/>
  <c r="F70" i="9"/>
  <c r="E70" i="9"/>
  <c r="F69" i="9"/>
  <c r="E69" i="9"/>
  <c r="F68" i="9"/>
  <c r="F67" i="9"/>
  <c r="E67" i="9"/>
  <c r="F66" i="9"/>
  <c r="E66" i="9"/>
  <c r="F64" i="9"/>
  <c r="E64" i="9"/>
  <c r="F63" i="9"/>
  <c r="E63" i="9"/>
  <c r="F62" i="9"/>
  <c r="E62" i="9"/>
  <c r="F60" i="9"/>
  <c r="E60" i="9"/>
  <c r="F59" i="9"/>
  <c r="E59" i="9"/>
  <c r="F58" i="9"/>
  <c r="F57" i="9"/>
  <c r="E57" i="9"/>
  <c r="F56" i="9"/>
  <c r="E56" i="9"/>
  <c r="F55" i="9"/>
  <c r="E55" i="9"/>
  <c r="F54" i="9"/>
  <c r="E54" i="9"/>
  <c r="F52" i="9"/>
  <c r="E52" i="9"/>
  <c r="F51" i="9"/>
  <c r="E51" i="9"/>
  <c r="F50" i="9"/>
  <c r="F49" i="9"/>
  <c r="E49" i="9"/>
  <c r="F48" i="9"/>
  <c r="E48" i="9"/>
  <c r="F47" i="9"/>
  <c r="E47" i="9"/>
  <c r="F45" i="9"/>
  <c r="E45" i="9"/>
  <c r="F43" i="9"/>
  <c r="E43" i="9"/>
  <c r="F41" i="9"/>
  <c r="E41" i="9"/>
  <c r="F40" i="9"/>
  <c r="E40" i="9"/>
  <c r="F39" i="9"/>
  <c r="E39" i="9"/>
  <c r="F37" i="9"/>
  <c r="E37" i="9"/>
  <c r="F36" i="9"/>
  <c r="E36" i="9"/>
  <c r="F34" i="9"/>
  <c r="E34" i="9"/>
  <c r="F33" i="9"/>
  <c r="E33" i="9"/>
  <c r="R29" i="9"/>
  <c r="P29" i="9"/>
  <c r="O29" i="9"/>
  <c r="N29" i="9"/>
  <c r="F32" i="9"/>
  <c r="E32" i="9"/>
  <c r="R28" i="9"/>
  <c r="P28" i="9"/>
  <c r="N28" i="9"/>
  <c r="R27" i="9"/>
  <c r="P27" i="9"/>
  <c r="O27" i="9"/>
  <c r="N27" i="9"/>
  <c r="F30" i="9"/>
  <c r="E30" i="9"/>
  <c r="R26" i="9"/>
  <c r="P26" i="9"/>
  <c r="O26" i="9"/>
  <c r="N26" i="9"/>
  <c r="F29" i="9"/>
  <c r="E29" i="9"/>
  <c r="R25" i="9"/>
  <c r="P25" i="9"/>
  <c r="O25" i="9"/>
  <c r="N25" i="9"/>
  <c r="R24" i="9"/>
  <c r="P24" i="9"/>
  <c r="O24" i="9"/>
  <c r="N24" i="9"/>
  <c r="F27" i="9"/>
  <c r="E27" i="9"/>
  <c r="Q23" i="9"/>
  <c r="O23" i="9"/>
  <c r="N23" i="9"/>
  <c r="F25" i="9"/>
  <c r="E25" i="9"/>
  <c r="Q22" i="9"/>
  <c r="P22" i="9"/>
  <c r="O22" i="9"/>
  <c r="N22" i="9"/>
  <c r="Q21" i="9"/>
  <c r="P21" i="9"/>
  <c r="O21" i="9"/>
  <c r="N21" i="9"/>
  <c r="F23" i="9"/>
  <c r="E23" i="9"/>
  <c r="Q20" i="9"/>
  <c r="P20" i="9"/>
  <c r="O20" i="9"/>
  <c r="N20" i="9"/>
  <c r="F22" i="9"/>
  <c r="E22" i="9"/>
  <c r="Q19" i="9"/>
  <c r="O19" i="9"/>
  <c r="N19" i="9"/>
  <c r="Q18" i="9"/>
  <c r="P18" i="9"/>
  <c r="O18" i="9"/>
  <c r="N18" i="9"/>
  <c r="F20" i="9"/>
  <c r="E20" i="9"/>
  <c r="Q17" i="9"/>
  <c r="N17" i="9"/>
  <c r="F18" i="9"/>
  <c r="E18" i="9"/>
  <c r="Q16" i="9"/>
  <c r="P16" i="9"/>
  <c r="O16" i="9"/>
  <c r="N16" i="9"/>
  <c r="Q15" i="9"/>
  <c r="P15" i="9"/>
  <c r="O15" i="9"/>
  <c r="N15" i="9"/>
  <c r="F16" i="9"/>
  <c r="E16" i="9"/>
  <c r="F14" i="9"/>
  <c r="E14" i="9"/>
  <c r="F13" i="9"/>
  <c r="F12" i="9"/>
  <c r="E12" i="9"/>
  <c r="F11" i="9"/>
  <c r="E11" i="9"/>
  <c r="F10" i="9"/>
  <c r="E10" i="9"/>
  <c r="R8" i="9"/>
  <c r="O8" i="9"/>
  <c r="N8" i="9"/>
  <c r="F8" i="9"/>
  <c r="E8" i="9"/>
  <c r="R7" i="9"/>
  <c r="N7" i="9"/>
  <c r="F7" i="9"/>
  <c r="E7" i="9"/>
  <c r="R6" i="9"/>
  <c r="O6" i="9"/>
  <c r="N6" i="9"/>
  <c r="L6" i="9"/>
  <c r="F6" i="9"/>
  <c r="E6" i="9"/>
  <c r="P6" i="9" l="1"/>
  <c r="Q6" i="9" s="1"/>
  <c r="Q10" i="9"/>
  <c r="Q14" i="9"/>
  <c r="Q12" i="9"/>
  <c r="Q9" i="9"/>
  <c r="Q13" i="9"/>
  <c r="Q11" i="9"/>
  <c r="R15" i="9"/>
  <c r="Q25" i="9"/>
  <c r="R18" i="9"/>
  <c r="R22" i="9"/>
  <c r="R21" i="9"/>
  <c r="Q26" i="9"/>
  <c r="Q29" i="9"/>
  <c r="Q8" i="9"/>
  <c r="R16" i="9"/>
  <c r="R20" i="9"/>
  <c r="Q24" i="9"/>
  <c r="Q27" i="9"/>
  <c r="P17" i="9"/>
  <c r="O17" i="9"/>
  <c r="P7" i="9"/>
  <c r="O7" i="9"/>
  <c r="P23" i="9"/>
  <c r="R23" i="9" s="1"/>
  <c r="P19" i="9"/>
  <c r="R19" i="9" s="1"/>
  <c r="R17" i="9" l="1"/>
  <c r="R30" i="9" s="1"/>
  <c r="Q7" i="9"/>
  <c r="G3" i="9"/>
  <c r="O28" i="9"/>
  <c r="Q28" i="9" s="1"/>
  <c r="Q30" i="9" l="1"/>
  <c r="O30" i="9"/>
  <c r="H3" i="9"/>
  <c r="G2" i="9" s="1"/>
  <c r="P30" i="9"/>
  <c r="H14" i="3" l="1"/>
  <c r="I12" i="2"/>
  <c r="J12" i="2" l="1"/>
  <c r="I14" i="3"/>
  <c r="K12" i="2" l="1"/>
  <c r="J14" i="3"/>
</calcChain>
</file>

<file path=xl/sharedStrings.xml><?xml version="1.0" encoding="utf-8"?>
<sst xmlns="http://schemas.openxmlformats.org/spreadsheetml/2006/main" count="110" uniqueCount="79">
  <si>
    <t>Fecha</t>
  </si>
  <si>
    <t>Detalle</t>
  </si>
  <si>
    <t>Precio
Compra
Unitario</t>
  </si>
  <si>
    <t>Entrada</t>
  </si>
  <si>
    <t>Salida</t>
  </si>
  <si>
    <t>Saldo</t>
  </si>
  <si>
    <t>Unidades</t>
  </si>
  <si>
    <t>Valores</t>
  </si>
  <si>
    <t>Tipo
Docto.</t>
  </si>
  <si>
    <t>N°
Docto.</t>
  </si>
  <si>
    <t>Rut</t>
  </si>
  <si>
    <t>Cuenta
Cargo</t>
  </si>
  <si>
    <t>Neto</t>
  </si>
  <si>
    <t>IVA</t>
  </si>
  <si>
    <t>Total</t>
  </si>
  <si>
    <t>Debe</t>
  </si>
  <si>
    <t>Haber</t>
  </si>
  <si>
    <t>Tarjeta Control Inventario: Producto "AA"</t>
  </si>
  <si>
    <t>Libro de Compras mes de Mayo 2019</t>
  </si>
  <si>
    <t>Libro de Ventas mes de Mayo 2019</t>
  </si>
  <si>
    <t>EJERCICIO INVENTARIOS ADQUIRIDOS - MÉTODO FIFO (PRIMERO EN ENTRAR PRIMERO EN SALIR)</t>
  </si>
  <si>
    <t>Control
FIFO</t>
  </si>
  <si>
    <t>Caja</t>
  </si>
  <si>
    <t>Procesos Contables I</t>
  </si>
  <si>
    <t>Primer Semestre 2024</t>
  </si>
  <si>
    <t>Profesor Luis Jara Sarrúa | Universidad de Santiago de Chile</t>
  </si>
  <si>
    <t>LIBRO DIARIO</t>
  </si>
  <si>
    <t>Sólo ingresar datos en recuadros en gris</t>
  </si>
  <si>
    <t>Sumas iguales ==&gt;</t>
  </si>
  <si>
    <t>PLAN DE CUENTAS</t>
  </si>
  <si>
    <t>#</t>
  </si>
  <si>
    <t>FECHA</t>
  </si>
  <si>
    <t>CÓDIGO CTA.</t>
  </si>
  <si>
    <t>CUENTAS</t>
  </si>
  <si>
    <t>DEBE</t>
  </si>
  <si>
    <t>HABER</t>
  </si>
  <si>
    <t>CÓDIGO</t>
  </si>
  <si>
    <t>CUENTA</t>
  </si>
  <si>
    <t>DÉBITOS</t>
  </si>
  <si>
    <t>CRÉDITOS</t>
  </si>
  <si>
    <t>SALDO</t>
  </si>
  <si>
    <t>DEUDOR</t>
  </si>
  <si>
    <t>ACREEDOR</t>
  </si>
  <si>
    <t>ACTIVO</t>
  </si>
  <si>
    <t>PASIVO</t>
  </si>
  <si>
    <t>PATRIMONIO</t>
  </si>
  <si>
    <t>Capital</t>
  </si>
  <si>
    <t>INGRESOS</t>
  </si>
  <si>
    <t>GASTOS</t>
  </si>
  <si>
    <t>Banco</t>
  </si>
  <si>
    <t>BALANCE COMPROBACIÓN Y SALDO</t>
  </si>
  <si>
    <t>G/ Por inicio de actividades con aporte en efectivo</t>
  </si>
  <si>
    <t>G/Depósito en cuenta corriente</t>
  </si>
  <si>
    <t>FA</t>
  </si>
  <si>
    <t>COM. SOL LTDA.</t>
  </si>
  <si>
    <t>78,998,098-1</t>
  </si>
  <si>
    <t>Mercaderías</t>
  </si>
  <si>
    <t>Facturas por pagar</t>
  </si>
  <si>
    <t>Proveedores</t>
  </si>
  <si>
    <t>Clientes</t>
  </si>
  <si>
    <t>IVA CF</t>
  </si>
  <si>
    <t>G/</t>
  </si>
  <si>
    <t>Compra Comercial Sol Ltda.</t>
  </si>
  <si>
    <t>200x20.500</t>
  </si>
  <si>
    <t>LUNA S.A.</t>
  </si>
  <si>
    <t>COMPRA COMERCIAL LUNA S.A.</t>
  </si>
  <si>
    <t>200x20.500
500x21.800</t>
  </si>
  <si>
    <t>COMERCIAL MUÑOZ Y MUÑOZ LTDA</t>
  </si>
  <si>
    <t>VENTA COMERCIAL MUÑOZ</t>
  </si>
  <si>
    <t>450x21800</t>
  </si>
  <si>
    <t>COSTO VENTA</t>
  </si>
  <si>
    <t>IVA DF</t>
  </si>
  <si>
    <t>Ingresos por ventas</t>
  </si>
  <si>
    <t>Costo de ventas</t>
  </si>
  <si>
    <t>COMPRA</t>
  </si>
  <si>
    <t>450x21800
600x22.000</t>
  </si>
  <si>
    <t>NC</t>
  </si>
  <si>
    <t>DEVOLUCION DE VENTA COM. MUÑOZ</t>
  </si>
  <si>
    <t>15X20.500
450X21.800
600X22.000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</si>
</sst>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1" formatCode="_ * #,##0_ ;_ * \-#,##0_ ;_ * &quot;-&quot;_ ;_ @_ "/>
    <numFmt numFmtId="164" formatCode="dd/mm/yy;@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9">
    <border>
      <left/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/>
      <top style="thick">
        <color auto="1"/>
      </top>
      <bottom style="thin">
        <color indexed="64"/>
      </bottom>
      <diagonal/>
    </border>
    <border>
      <left/>
      <right style="thin">
        <color auto="1"/>
      </right>
      <top style="thick">
        <color auto="1"/>
      </top>
      <bottom style="thin">
        <color indexed="64"/>
      </bottom>
      <diagonal/>
    </border>
    <border>
      <left style="thin">
        <color auto="1"/>
      </left>
      <right/>
      <top style="thick">
        <color auto="1"/>
      </top>
      <bottom/>
      <diagonal/>
    </border>
    <border>
      <left/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1" fontId="1" fillId="0" borderId="0" applyFont="0" applyFill="0" applyBorder="0" applyAlignment="0" applyProtection="0"/>
  </cellStyleXfs>
  <cellXfs count="88">
    <xf numFmtId="0" fontId="0" fillId="0" borderId="0" xfId="0"/>
    <xf numFmtId="0" fontId="0" fillId="0" borderId="6" xfId="0" applyBorder="1"/>
    <xf numFmtId="0" fontId="0" fillId="0" borderId="5" xfId="0" applyBorder="1"/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8" xfId="0" applyBorder="1"/>
    <xf numFmtId="0" fontId="0" fillId="0" borderId="9" xfId="0" applyBorder="1"/>
    <xf numFmtId="3" fontId="0" fillId="0" borderId="0" xfId="0" applyNumberFormat="1"/>
    <xf numFmtId="3" fontId="0" fillId="0" borderId="6" xfId="0" applyNumberFormat="1" applyBorder="1"/>
    <xf numFmtId="3" fontId="0" fillId="0" borderId="5" xfId="0" applyNumberFormat="1" applyBorder="1"/>
    <xf numFmtId="3" fontId="0" fillId="0" borderId="10" xfId="0" applyNumberFormat="1" applyBorder="1"/>
    <xf numFmtId="3" fontId="0" fillId="0" borderId="9" xfId="0" applyNumberFormat="1" applyBorder="1"/>
    <xf numFmtId="14" fontId="0" fillId="0" borderId="6" xfId="0" applyNumberFormat="1" applyBorder="1"/>
    <xf numFmtId="14" fontId="0" fillId="0" borderId="5" xfId="0" applyNumberFormat="1" applyBorder="1"/>
    <xf numFmtId="0" fontId="2" fillId="0" borderId="0" xfId="0" applyFont="1"/>
    <xf numFmtId="0" fontId="4" fillId="0" borderId="0" xfId="0" applyFont="1"/>
    <xf numFmtId="0" fontId="5" fillId="0" borderId="0" xfId="0" applyFont="1"/>
    <xf numFmtId="0" fontId="3" fillId="0" borderId="0" xfId="0" applyFont="1"/>
    <xf numFmtId="3" fontId="5" fillId="0" borderId="0" xfId="0" applyNumberFormat="1" applyFont="1"/>
    <xf numFmtId="0" fontId="5" fillId="0" borderId="1" xfId="0" applyFont="1" applyBorder="1"/>
    <xf numFmtId="0" fontId="5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/>
    </xf>
    <xf numFmtId="0" fontId="7" fillId="0" borderId="0" xfId="0" applyFont="1"/>
    <xf numFmtId="41" fontId="0" fillId="0" borderId="0" xfId="1" applyFont="1"/>
    <xf numFmtId="41" fontId="2" fillId="0" borderId="0" xfId="1" applyFont="1"/>
    <xf numFmtId="41" fontId="0" fillId="0" borderId="0" xfId="1" applyFont="1" applyAlignment="1">
      <alignment horizontal="right"/>
    </xf>
    <xf numFmtId="41" fontId="0" fillId="0" borderId="26" xfId="1" applyFont="1" applyBorder="1" applyAlignment="1">
      <alignment horizontal="center"/>
    </xf>
    <xf numFmtId="41" fontId="0" fillId="0" borderId="13" xfId="1" applyFont="1" applyBorder="1"/>
    <xf numFmtId="41" fontId="0" fillId="0" borderId="32" xfId="1" applyFont="1" applyBorder="1"/>
    <xf numFmtId="41" fontId="0" fillId="0" borderId="11" xfId="1" applyFont="1" applyBorder="1"/>
    <xf numFmtId="164" fontId="0" fillId="2" borderId="11" xfId="1" applyNumberFormat="1" applyFont="1" applyFill="1" applyBorder="1"/>
    <xf numFmtId="41" fontId="0" fillId="2" borderId="4" xfId="1" applyFont="1" applyFill="1" applyBorder="1"/>
    <xf numFmtId="41" fontId="0" fillId="0" borderId="0" xfId="1" applyFont="1" applyBorder="1"/>
    <xf numFmtId="41" fontId="0" fillId="2" borderId="12" xfId="1" applyFont="1" applyFill="1" applyBorder="1"/>
    <xf numFmtId="41" fontId="2" fillId="0" borderId="4" xfId="1" applyFont="1" applyBorder="1"/>
    <xf numFmtId="41" fontId="9" fillId="0" borderId="0" xfId="1" applyFont="1" applyAlignment="1">
      <alignment horizontal="right"/>
    </xf>
    <xf numFmtId="41" fontId="0" fillId="3" borderId="0" xfId="1" applyFont="1" applyFill="1"/>
    <xf numFmtId="41" fontId="0" fillId="0" borderId="4" xfId="1" applyFont="1" applyBorder="1"/>
    <xf numFmtId="41" fontId="0" fillId="0" borderId="6" xfId="1" applyFont="1" applyBorder="1"/>
    <xf numFmtId="164" fontId="0" fillId="2" borderId="6" xfId="1" applyNumberFormat="1" applyFont="1" applyFill="1" applyBorder="1"/>
    <xf numFmtId="41" fontId="0" fillId="2" borderId="6" xfId="1" applyFont="1" applyFill="1" applyBorder="1"/>
    <xf numFmtId="41" fontId="0" fillId="2" borderId="33" xfId="1" applyFont="1" applyFill="1" applyBorder="1"/>
    <xf numFmtId="41" fontId="0" fillId="2" borderId="34" xfId="1" applyFont="1" applyFill="1" applyBorder="1"/>
    <xf numFmtId="41" fontId="0" fillId="0" borderId="35" xfId="1" applyFont="1" applyBorder="1"/>
    <xf numFmtId="164" fontId="0" fillId="2" borderId="35" xfId="1" applyNumberFormat="1" applyFont="1" applyFill="1" applyBorder="1"/>
    <xf numFmtId="41" fontId="0" fillId="0" borderId="33" xfId="1" applyFont="1" applyBorder="1"/>
    <xf numFmtId="41" fontId="0" fillId="0" borderId="37" xfId="1" applyFont="1" applyBorder="1"/>
    <xf numFmtId="41" fontId="0" fillId="0" borderId="38" xfId="1" applyFont="1" applyBorder="1"/>
    <xf numFmtId="41" fontId="0" fillId="0" borderId="3" xfId="1" applyFont="1" applyBorder="1"/>
    <xf numFmtId="0" fontId="6" fillId="0" borderId="0" xfId="0" applyFont="1" applyAlignment="1">
      <alignment horizontal="center"/>
    </xf>
    <xf numFmtId="0" fontId="5" fillId="0" borderId="2" xfId="0" applyFont="1" applyBorder="1" applyAlignment="1">
      <alignment horizontal="center"/>
    </xf>
    <xf numFmtId="41" fontId="0" fillId="0" borderId="22" xfId="1" applyFont="1" applyBorder="1" applyAlignment="1">
      <alignment horizontal="center" vertical="center"/>
    </xf>
    <xf numFmtId="41" fontId="0" fillId="0" borderId="13" xfId="1" applyFont="1" applyBorder="1" applyAlignment="1">
      <alignment horizontal="center" vertical="center"/>
    </xf>
    <xf numFmtId="41" fontId="0" fillId="0" borderId="23" xfId="1" applyFont="1" applyBorder="1" applyAlignment="1">
      <alignment horizontal="center"/>
    </xf>
    <xf numFmtId="41" fontId="0" fillId="0" borderId="24" xfId="1" applyFont="1" applyBorder="1" applyAlignment="1">
      <alignment horizontal="center"/>
    </xf>
    <xf numFmtId="41" fontId="0" fillId="0" borderId="36" xfId="1" applyFont="1" applyBorder="1" applyAlignment="1">
      <alignment horizontal="center"/>
    </xf>
    <xf numFmtId="41" fontId="0" fillId="0" borderId="37" xfId="1" applyFont="1" applyBorder="1" applyAlignment="1">
      <alignment horizontal="center"/>
    </xf>
    <xf numFmtId="41" fontId="0" fillId="0" borderId="14" xfId="1" applyFont="1" applyBorder="1" applyAlignment="1">
      <alignment horizontal="center" vertical="center"/>
    </xf>
    <xf numFmtId="41" fontId="0" fillId="0" borderId="25" xfId="1" applyFont="1" applyBorder="1" applyAlignment="1">
      <alignment horizontal="center" vertical="center"/>
    </xf>
    <xf numFmtId="41" fontId="0" fillId="0" borderId="19" xfId="1" applyFont="1" applyBorder="1" applyAlignment="1">
      <alignment horizontal="center" vertical="center"/>
    </xf>
    <xf numFmtId="41" fontId="0" fillId="0" borderId="29" xfId="1" applyFont="1" applyBorder="1" applyAlignment="1">
      <alignment horizontal="center" vertical="center"/>
    </xf>
    <xf numFmtId="41" fontId="0" fillId="0" borderId="20" xfId="1" applyFont="1" applyBorder="1" applyAlignment="1">
      <alignment horizontal="center" vertical="center"/>
    </xf>
    <xf numFmtId="41" fontId="0" fillId="0" borderId="30" xfId="1" applyFont="1" applyBorder="1" applyAlignment="1">
      <alignment horizontal="center" vertical="center"/>
    </xf>
    <xf numFmtId="41" fontId="0" fillId="0" borderId="21" xfId="1" applyFont="1" applyBorder="1" applyAlignment="1">
      <alignment horizontal="center" vertical="center"/>
    </xf>
    <xf numFmtId="41" fontId="0" fillId="0" borderId="31" xfId="1" applyFont="1" applyBorder="1" applyAlignment="1">
      <alignment horizontal="center" vertical="center"/>
    </xf>
    <xf numFmtId="41" fontId="2" fillId="0" borderId="0" xfId="1" applyFont="1" applyAlignment="1">
      <alignment horizontal="right"/>
    </xf>
    <xf numFmtId="41" fontId="0" fillId="2" borderId="0" xfId="1" applyFont="1" applyFill="1" applyAlignment="1">
      <alignment horizontal="center"/>
    </xf>
    <xf numFmtId="41" fontId="8" fillId="0" borderId="0" xfId="1" applyFont="1" applyAlignment="1">
      <alignment horizontal="center"/>
    </xf>
    <xf numFmtId="41" fontId="2" fillId="0" borderId="13" xfId="1" applyFont="1" applyBorder="1" applyAlignment="1">
      <alignment horizontal="center"/>
    </xf>
    <xf numFmtId="41" fontId="0" fillId="0" borderId="15" xfId="1" applyFont="1" applyBorder="1" applyAlignment="1">
      <alignment horizontal="center"/>
    </xf>
    <xf numFmtId="41" fontId="0" fillId="0" borderId="16" xfId="1" applyFont="1" applyBorder="1" applyAlignment="1">
      <alignment horizontal="center"/>
    </xf>
    <xf numFmtId="41" fontId="0" fillId="0" borderId="17" xfId="1" applyFont="1" applyBorder="1" applyAlignment="1">
      <alignment horizontal="center" vertical="center"/>
    </xf>
    <xf numFmtId="41" fontId="0" fillId="0" borderId="18" xfId="1" applyFont="1" applyBorder="1" applyAlignment="1">
      <alignment horizontal="center" vertical="center"/>
    </xf>
    <xf numFmtId="41" fontId="0" fillId="0" borderId="27" xfId="1" applyFont="1" applyBorder="1" applyAlignment="1">
      <alignment horizontal="center" vertical="center"/>
    </xf>
    <xf numFmtId="41" fontId="0" fillId="0" borderId="28" xfId="1" applyFont="1" applyBorder="1" applyAlignment="1">
      <alignment horizontal="center" vertical="center"/>
    </xf>
    <xf numFmtId="14" fontId="5" fillId="0" borderId="4" xfId="0" applyNumberFormat="1" applyFont="1" applyBorder="1" applyAlignment="1">
      <alignment vertical="top"/>
    </xf>
    <xf numFmtId="3" fontId="5" fillId="0" borderId="4" xfId="0" applyNumberFormat="1" applyFont="1" applyBorder="1" applyAlignment="1">
      <alignment vertical="top"/>
    </xf>
    <xf numFmtId="14" fontId="5" fillId="0" borderId="5" xfId="0" applyNumberFormat="1" applyFont="1" applyBorder="1" applyAlignment="1">
      <alignment vertical="top"/>
    </xf>
    <xf numFmtId="3" fontId="5" fillId="0" borderId="5" xfId="0" applyNumberFormat="1" applyFont="1" applyBorder="1" applyAlignment="1">
      <alignment vertical="top"/>
    </xf>
    <xf numFmtId="3" fontId="5" fillId="0" borderId="0" xfId="0" applyNumberFormat="1" applyFont="1" applyAlignment="1">
      <alignment vertical="top"/>
    </xf>
    <xf numFmtId="0" fontId="5" fillId="0" borderId="0" xfId="0" applyFont="1" applyAlignment="1">
      <alignment vertical="top"/>
    </xf>
    <xf numFmtId="14" fontId="0" fillId="0" borderId="5" xfId="0" applyNumberFormat="1" applyBorder="1" applyAlignment="1">
      <alignment vertical="top"/>
    </xf>
    <xf numFmtId="3" fontId="5" fillId="0" borderId="6" xfId="0" applyNumberFormat="1" applyFont="1" applyBorder="1" applyAlignment="1">
      <alignment vertical="top"/>
    </xf>
    <xf numFmtId="3" fontId="5" fillId="0" borderId="4" xfId="0" applyNumberFormat="1" applyFont="1" applyBorder="1" applyAlignment="1">
      <alignment vertical="top" wrapText="1"/>
    </xf>
    <xf numFmtId="3" fontId="5" fillId="0" borderId="2" xfId="0" applyNumberFormat="1" applyFont="1" applyBorder="1" applyAlignment="1">
      <alignment vertical="top"/>
    </xf>
    <xf numFmtId="3" fontId="5" fillId="4" borderId="5" xfId="0" applyNumberFormat="1" applyFont="1" applyFill="1" applyBorder="1" applyAlignment="1">
      <alignment vertical="top"/>
    </xf>
    <xf numFmtId="3" fontId="5" fillId="0" borderId="5" xfId="0" applyNumberFormat="1" applyFont="1" applyBorder="1" applyAlignment="1">
      <alignment vertical="top" wrapText="1"/>
    </xf>
  </cellXfs>
  <cellStyles count="2">
    <cellStyle name="Millares [0]" xfId="1" builtinId="6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10</xdr:col>
      <xdr:colOff>640080</xdr:colOff>
      <xdr:row>50</xdr:row>
      <xdr:rowOff>30400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" y="1280160"/>
          <a:ext cx="7772400" cy="7894240"/>
        </a:xfrm>
        <a:prstGeom prst="rect">
          <a:avLst/>
        </a:prstGeom>
      </xdr:spPr>
    </xdr:pic>
    <xdr:clientData/>
  </xdr:twoCellAnchor>
  <xdr:twoCellAnchor editAs="oneCell">
    <xdr:from>
      <xdr:col>1</xdr:col>
      <xdr:colOff>213360</xdr:colOff>
      <xdr:row>52</xdr:row>
      <xdr:rowOff>26688</xdr:rowOff>
    </xdr:from>
    <xdr:to>
      <xdr:col>10</xdr:col>
      <xdr:colOff>205740</xdr:colOff>
      <xdr:row>64</xdr:row>
      <xdr:rowOff>142875</xdr:rowOff>
    </xdr:to>
    <xdr:pic>
      <xdr:nvPicPr>
        <xdr:cNvPr id="6" name="5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492"/>
        <a:stretch/>
      </xdr:blipFill>
      <xdr:spPr>
        <a:xfrm>
          <a:off x="975360" y="10227963"/>
          <a:ext cx="6850380" cy="2402187"/>
        </a:xfrm>
        <a:prstGeom prst="rect">
          <a:avLst/>
        </a:prstGeom>
      </xdr:spPr>
    </xdr:pic>
    <xdr:clientData/>
  </xdr:twoCellAnchor>
  <xdr:twoCellAnchor>
    <xdr:from>
      <xdr:col>2</xdr:col>
      <xdr:colOff>655320</xdr:colOff>
      <xdr:row>12</xdr:row>
      <xdr:rowOff>91440</xdr:rowOff>
    </xdr:from>
    <xdr:to>
      <xdr:col>5</xdr:col>
      <xdr:colOff>38100</xdr:colOff>
      <xdr:row>13</xdr:row>
      <xdr:rowOff>129540</xdr:rowOff>
    </xdr:to>
    <xdr:sp macro="" textlink="">
      <xdr:nvSpPr>
        <xdr:cNvPr id="2" name="1 Rectángulo"/>
        <xdr:cNvSpPr/>
      </xdr:nvSpPr>
      <xdr:spPr>
        <a:xfrm>
          <a:off x="2240280" y="2598420"/>
          <a:ext cx="1760220" cy="22098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L" sz="1200"/>
            <a:t>FIFO 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"/>
  <sheetViews>
    <sheetView showGridLines="0" topLeftCell="A13" workbookViewId="0">
      <selection activeCell="L18" sqref="L18"/>
    </sheetView>
  </sheetViews>
  <sheetFormatPr baseColWidth="10" defaultRowHeight="15" x14ac:dyDescent="0.25"/>
  <sheetData>
    <row r="1" spans="1:11" ht="21" x14ac:dyDescent="0.35">
      <c r="A1" s="23" t="s">
        <v>23</v>
      </c>
    </row>
    <row r="2" spans="1:11" x14ac:dyDescent="0.25">
      <c r="A2" t="s">
        <v>24</v>
      </c>
    </row>
    <row r="3" spans="1:11" x14ac:dyDescent="0.25">
      <c r="A3" t="s">
        <v>25</v>
      </c>
    </row>
    <row r="4" spans="1:11" ht="28.5" x14ac:dyDescent="0.45">
      <c r="C4" s="15"/>
    </row>
    <row r="5" spans="1:11" ht="18.75" x14ac:dyDescent="0.3">
      <c r="B5" s="50" t="s">
        <v>20</v>
      </c>
      <c r="C5" s="50"/>
      <c r="D5" s="50"/>
      <c r="E5" s="50"/>
      <c r="F5" s="50"/>
      <c r="G5" s="50"/>
      <c r="H5" s="50"/>
      <c r="I5" s="50"/>
      <c r="J5" s="50"/>
      <c r="K5" s="50"/>
    </row>
  </sheetData>
  <mergeCells count="1">
    <mergeCell ref="B5:K5"/>
  </mergeCells>
  <pageMargins left="0.7" right="0.7" top="0.75" bottom="0.75" header="0.3" footer="0.3"/>
  <pageSetup scale="70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2:O1048576"/>
  <sheetViews>
    <sheetView showGridLines="0" topLeftCell="A4" zoomScale="130" zoomScaleNormal="130" workbookViewId="0">
      <selection activeCell="A19" sqref="A19"/>
    </sheetView>
  </sheetViews>
  <sheetFormatPr baseColWidth="10" defaultColWidth="8.85546875" defaultRowHeight="15" x14ac:dyDescent="0.25"/>
  <cols>
    <col min="1" max="1" width="8.85546875" style="16"/>
    <col min="2" max="2" width="0.5703125" style="16" customWidth="1"/>
    <col min="3" max="3" width="12.42578125" style="16" customWidth="1"/>
    <col min="4" max="4" width="43.5703125" style="16" customWidth="1"/>
    <col min="5" max="8" width="12.7109375" style="16" customWidth="1"/>
    <col min="9" max="9" width="0.85546875" style="16" customWidth="1"/>
    <col min="10" max="11" width="12.7109375" style="16" customWidth="1"/>
    <col min="12" max="12" width="15.28515625" style="16" customWidth="1"/>
    <col min="13" max="13" width="12.7109375" style="16" customWidth="1"/>
    <col min="14" max="14" width="0.5703125" style="16" customWidth="1"/>
    <col min="15" max="15" width="16.5703125" style="18" customWidth="1"/>
    <col min="16" max="16384" width="8.85546875" style="16"/>
  </cols>
  <sheetData>
    <row r="2" spans="3:15" x14ac:dyDescent="0.25">
      <c r="C2" s="17" t="s">
        <v>17</v>
      </c>
    </row>
    <row r="4" spans="3:15" ht="1.9" customHeight="1" thickBot="1" x14ac:dyDescent="0.3"/>
    <row r="5" spans="3:15" x14ac:dyDescent="0.25">
      <c r="C5" s="19"/>
      <c r="D5" s="19"/>
      <c r="E5" s="19"/>
      <c r="F5" s="51" t="s">
        <v>6</v>
      </c>
      <c r="G5" s="51"/>
      <c r="H5" s="51"/>
      <c r="I5" s="19"/>
      <c r="J5" s="51" t="s">
        <v>7</v>
      </c>
      <c r="K5" s="51"/>
      <c r="L5" s="51"/>
      <c r="M5" s="19"/>
    </row>
    <row r="6" spans="3:15" ht="45.75" thickBot="1" x14ac:dyDescent="0.3">
      <c r="C6" s="20" t="s">
        <v>0</v>
      </c>
      <c r="D6" s="20" t="s">
        <v>1</v>
      </c>
      <c r="E6" s="21" t="s">
        <v>2</v>
      </c>
      <c r="F6" s="20" t="s">
        <v>3</v>
      </c>
      <c r="G6" s="20" t="s">
        <v>4</v>
      </c>
      <c r="H6" s="20" t="s">
        <v>5</v>
      </c>
      <c r="I6" s="20"/>
      <c r="J6" s="20" t="s">
        <v>3</v>
      </c>
      <c r="K6" s="20" t="s">
        <v>4</v>
      </c>
      <c r="L6" s="20" t="s">
        <v>5</v>
      </c>
      <c r="M6" s="21" t="s">
        <v>21</v>
      </c>
      <c r="O6" s="22"/>
    </row>
    <row r="7" spans="3:15" ht="65.099999999999994" customHeight="1" x14ac:dyDescent="0.25">
      <c r="C7" s="76">
        <v>43586</v>
      </c>
      <c r="D7" s="77" t="s">
        <v>62</v>
      </c>
      <c r="E7" s="77">
        <v>20500</v>
      </c>
      <c r="F7" s="77">
        <v>200</v>
      </c>
      <c r="G7" s="77"/>
      <c r="H7" s="77">
        <f>+F7-G7</f>
        <v>200</v>
      </c>
      <c r="I7" s="77">
        <v>250</v>
      </c>
      <c r="J7" s="77">
        <f>+F7*E7</f>
        <v>4100000</v>
      </c>
      <c r="K7" s="77"/>
      <c r="L7" s="77">
        <f>+J7-K7</f>
        <v>4100000</v>
      </c>
      <c r="M7" s="85" t="s">
        <v>63</v>
      </c>
    </row>
    <row r="8" spans="3:15" ht="65.099999999999994" customHeight="1" x14ac:dyDescent="0.25">
      <c r="C8" s="78">
        <v>43588</v>
      </c>
      <c r="D8" s="79" t="s">
        <v>65</v>
      </c>
      <c r="E8" s="79">
        <v>21800</v>
      </c>
      <c r="F8" s="79">
        <v>500</v>
      </c>
      <c r="G8" s="79"/>
      <c r="H8" s="79">
        <f>+H7+F8-G8</f>
        <v>700</v>
      </c>
      <c r="I8" s="80"/>
      <c r="J8" s="79">
        <f>+F8*E8</f>
        <v>10900000</v>
      </c>
      <c r="K8" s="79"/>
      <c r="L8" s="79">
        <f>+L7+J8-K8</f>
        <v>15000000</v>
      </c>
      <c r="M8" s="84" t="s">
        <v>66</v>
      </c>
    </row>
    <row r="9" spans="3:15" ht="65.099999999999994" customHeight="1" x14ac:dyDescent="0.25">
      <c r="C9" s="78">
        <v>43593</v>
      </c>
      <c r="D9" s="79" t="s">
        <v>68</v>
      </c>
      <c r="E9" s="79"/>
      <c r="F9" s="79"/>
      <c r="G9" s="81">
        <v>250</v>
      </c>
      <c r="H9" s="79">
        <f>+H8+F9-G9</f>
        <v>450</v>
      </c>
      <c r="I9" s="80"/>
      <c r="J9" s="79"/>
      <c r="K9" s="86">
        <f>200*20500+50*21800</f>
        <v>5190000</v>
      </c>
      <c r="L9" s="79">
        <f>+L8+J9-K9</f>
        <v>9810000</v>
      </c>
      <c r="M9" s="79" t="s">
        <v>69</v>
      </c>
    </row>
    <row r="10" spans="3:15" ht="65.099999999999994" customHeight="1" x14ac:dyDescent="0.25">
      <c r="C10" s="78">
        <v>43595</v>
      </c>
      <c r="D10" s="79" t="s">
        <v>74</v>
      </c>
      <c r="E10" s="79">
        <v>22000</v>
      </c>
      <c r="F10" s="79">
        <v>600</v>
      </c>
      <c r="G10" s="79"/>
      <c r="H10" s="79">
        <f>+H9+F10-G10</f>
        <v>1050</v>
      </c>
      <c r="I10" s="80"/>
      <c r="J10" s="79">
        <f>+F10*E10</f>
        <v>13200000</v>
      </c>
      <c r="K10" s="79"/>
      <c r="L10" s="79">
        <f>+L9+J10-K10</f>
        <v>23010000</v>
      </c>
      <c r="M10" s="87" t="s">
        <v>75</v>
      </c>
    </row>
    <row r="11" spans="3:15" ht="65.099999999999994" customHeight="1" x14ac:dyDescent="0.25">
      <c r="C11" s="78">
        <v>43600</v>
      </c>
      <c r="D11" s="79" t="s">
        <v>77</v>
      </c>
      <c r="E11" s="79">
        <v>20500</v>
      </c>
      <c r="F11" s="79">
        <v>15</v>
      </c>
      <c r="G11" s="79"/>
      <c r="H11" s="79">
        <f>+H10+F11-G11</f>
        <v>1065</v>
      </c>
      <c r="I11" s="80"/>
      <c r="J11" s="79">
        <f>+F11*E11</f>
        <v>307500</v>
      </c>
      <c r="K11" s="79"/>
      <c r="L11" s="79">
        <f>+L10+J11-K11</f>
        <v>23317500</v>
      </c>
      <c r="M11" s="87" t="s">
        <v>78</v>
      </c>
    </row>
    <row r="12" spans="3:15" ht="65.099999999999994" customHeight="1" x14ac:dyDescent="0.25">
      <c r="C12" s="78"/>
      <c r="D12" s="79"/>
      <c r="E12" s="79"/>
      <c r="F12" s="79"/>
      <c r="G12" s="79"/>
      <c r="H12" s="79"/>
      <c r="I12" s="80"/>
      <c r="J12" s="79"/>
      <c r="K12" s="79"/>
      <c r="L12" s="79"/>
      <c r="M12" s="79"/>
    </row>
    <row r="13" spans="3:15" ht="65.099999999999994" customHeight="1" x14ac:dyDescent="0.25">
      <c r="C13" s="82"/>
      <c r="D13" s="79"/>
      <c r="E13" s="79"/>
      <c r="F13" s="79"/>
      <c r="G13" s="79"/>
      <c r="H13" s="79"/>
      <c r="I13" s="80"/>
      <c r="J13" s="79"/>
      <c r="K13" s="79"/>
      <c r="L13" s="79"/>
      <c r="M13" s="79"/>
    </row>
    <row r="14" spans="3:15" ht="65.099999999999994" customHeight="1" x14ac:dyDescent="0.25">
      <c r="C14" s="78"/>
      <c r="D14" s="79"/>
      <c r="E14" s="79"/>
      <c r="F14" s="79"/>
      <c r="G14" s="79"/>
      <c r="H14" s="79"/>
      <c r="I14" s="80"/>
      <c r="J14" s="79"/>
      <c r="K14" s="79"/>
      <c r="L14" s="79"/>
      <c r="M14" s="79"/>
    </row>
    <row r="15" spans="3:15" ht="65.099999999999994" customHeight="1" x14ac:dyDescent="0.25">
      <c r="C15" s="78"/>
      <c r="D15" s="79"/>
      <c r="E15" s="79"/>
      <c r="F15" s="79"/>
      <c r="G15" s="79"/>
      <c r="H15" s="79"/>
      <c r="I15" s="80"/>
      <c r="J15" s="79"/>
      <c r="K15" s="79"/>
      <c r="L15" s="79"/>
      <c r="M15" s="79"/>
    </row>
    <row r="16" spans="3:15" ht="65.099999999999994" customHeight="1" x14ac:dyDescent="0.25">
      <c r="C16" s="78"/>
      <c r="D16" s="79"/>
      <c r="E16" s="79"/>
      <c r="F16" s="79"/>
      <c r="G16" s="79"/>
      <c r="H16" s="79"/>
      <c r="I16" s="83"/>
      <c r="J16" s="79"/>
      <c r="K16" s="79"/>
      <c r="L16" s="79"/>
      <c r="M16" s="79"/>
    </row>
    <row r="17" spans="3:13" ht="1.9" customHeight="1" x14ac:dyDescent="0.25"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</row>
    <row r="18" spans="3:13" x14ac:dyDescent="0.25"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</row>
    <row r="1048576" spans="8:8" x14ac:dyDescent="0.25">
      <c r="H1048576" s="79"/>
    </row>
  </sheetData>
  <mergeCells count="2">
    <mergeCell ref="F5:H5"/>
    <mergeCell ref="J5:L5"/>
  </mergeCells>
  <pageMargins left="0.7" right="0.7" top="0.75" bottom="0.75" header="0.3" footer="0.3"/>
  <pageSetup scale="62" orientation="landscape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K13"/>
  <sheetViews>
    <sheetView showGridLines="0" zoomScale="145" zoomScaleNormal="145" workbookViewId="0">
      <selection activeCell="K9" sqref="K9"/>
    </sheetView>
  </sheetViews>
  <sheetFormatPr baseColWidth="10" defaultColWidth="8.85546875" defaultRowHeight="15" x14ac:dyDescent="0.25"/>
  <cols>
    <col min="2" max="2" width="0.5703125" customWidth="1"/>
    <col min="3" max="3" width="11.140625" bestFit="1" customWidth="1"/>
    <col min="6" max="6" width="25.7109375" customWidth="1"/>
    <col min="7" max="11" width="12.7109375" customWidth="1"/>
    <col min="12" max="12" width="0.5703125" customWidth="1"/>
  </cols>
  <sheetData>
    <row r="3" spans="3:11" x14ac:dyDescent="0.25">
      <c r="C3" s="14" t="s">
        <v>18</v>
      </c>
      <c r="K3" t="s">
        <v>57</v>
      </c>
    </row>
    <row r="4" spans="3:11" x14ac:dyDescent="0.25">
      <c r="K4" t="s">
        <v>58</v>
      </c>
    </row>
    <row r="5" spans="3:11" ht="3" customHeight="1" thickBot="1" x14ac:dyDescent="0.3"/>
    <row r="6" spans="3:11" ht="30.75" thickBot="1" x14ac:dyDescent="0.3">
      <c r="C6" s="3" t="s">
        <v>0</v>
      </c>
      <c r="D6" s="4" t="s">
        <v>8</v>
      </c>
      <c r="E6" s="4" t="s">
        <v>9</v>
      </c>
      <c r="F6" s="3" t="s">
        <v>1</v>
      </c>
      <c r="G6" s="3" t="s">
        <v>10</v>
      </c>
      <c r="H6" s="4" t="s">
        <v>11</v>
      </c>
      <c r="I6" s="4" t="s">
        <v>12</v>
      </c>
      <c r="J6" s="4" t="s">
        <v>13</v>
      </c>
      <c r="K6" s="4" t="s">
        <v>14</v>
      </c>
    </row>
    <row r="7" spans="3:11" ht="30" customHeight="1" x14ac:dyDescent="0.25">
      <c r="C7" s="12">
        <v>43586</v>
      </c>
      <c r="D7" s="1" t="s">
        <v>53</v>
      </c>
      <c r="E7" s="1">
        <v>1234</v>
      </c>
      <c r="F7" s="1" t="s">
        <v>54</v>
      </c>
      <c r="G7" s="1" t="s">
        <v>55</v>
      </c>
      <c r="H7" s="8" t="s">
        <v>56</v>
      </c>
      <c r="I7" s="8">
        <f>200*20500</f>
        <v>4100000</v>
      </c>
      <c r="J7" s="8">
        <f>+I7*0.19</f>
        <v>779000</v>
      </c>
      <c r="K7" s="8">
        <f>+I7+J7</f>
        <v>4879000</v>
      </c>
    </row>
    <row r="8" spans="3:11" ht="30" customHeight="1" x14ac:dyDescent="0.25">
      <c r="C8" s="12">
        <v>43588</v>
      </c>
      <c r="D8" s="1" t="s">
        <v>53</v>
      </c>
      <c r="E8" s="1"/>
      <c r="F8" s="1" t="s">
        <v>64</v>
      </c>
      <c r="G8" s="1"/>
      <c r="H8" s="8" t="s">
        <v>56</v>
      </c>
      <c r="I8" s="8">
        <f>500*21800</f>
        <v>10900000</v>
      </c>
      <c r="J8" s="8">
        <f>+I8*0.19</f>
        <v>2071000</v>
      </c>
      <c r="K8" s="8">
        <f>+I8+J8</f>
        <v>12971000</v>
      </c>
    </row>
    <row r="9" spans="3:11" ht="30" customHeight="1" x14ac:dyDescent="0.25">
      <c r="C9" s="13">
        <v>43595</v>
      </c>
      <c r="D9" s="2"/>
      <c r="E9" s="2"/>
      <c r="F9" s="2"/>
      <c r="G9" s="2"/>
      <c r="H9" s="8" t="s">
        <v>56</v>
      </c>
      <c r="I9" s="9">
        <f>600*22000</f>
        <v>13200000</v>
      </c>
      <c r="J9" s="8">
        <f>+I9*0.19</f>
        <v>2508000</v>
      </c>
      <c r="K9" s="8">
        <f>+I9+J9</f>
        <v>15708000</v>
      </c>
    </row>
    <row r="10" spans="3:11" ht="30" customHeight="1" x14ac:dyDescent="0.25">
      <c r="C10" s="13"/>
      <c r="D10" s="2"/>
      <c r="E10" s="2"/>
      <c r="F10" s="1"/>
      <c r="G10" s="1"/>
      <c r="H10" s="8"/>
      <c r="I10" s="9"/>
      <c r="J10" s="8"/>
      <c r="K10" s="8"/>
    </row>
    <row r="11" spans="3:11" ht="30" customHeight="1" thickBot="1" x14ac:dyDescent="0.3">
      <c r="C11" s="13"/>
      <c r="D11" s="2"/>
      <c r="E11" s="2"/>
      <c r="F11" s="1"/>
      <c r="G11" s="1"/>
      <c r="H11" s="8"/>
      <c r="I11" s="10"/>
      <c r="J11" s="8"/>
      <c r="K11" s="8"/>
    </row>
    <row r="12" spans="3:11" ht="30" customHeight="1" x14ac:dyDescent="0.25">
      <c r="C12" s="5"/>
      <c r="D12" s="6"/>
      <c r="E12" s="6"/>
      <c r="F12" s="6"/>
      <c r="G12" s="6"/>
      <c r="H12" s="11"/>
      <c r="I12" s="8">
        <f>SUM(I7:I11)</f>
        <v>28200000</v>
      </c>
      <c r="J12" s="8">
        <f>SUM(J7:J11)</f>
        <v>5358000</v>
      </c>
      <c r="K12" s="8">
        <f>SUM(K7:K11)</f>
        <v>33558000</v>
      </c>
    </row>
    <row r="13" spans="3:11" ht="3" customHeight="1" x14ac:dyDescent="0.25"/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L19"/>
  <sheetViews>
    <sheetView showGridLines="0" zoomScale="130" zoomScaleNormal="130" workbookViewId="0">
      <selection activeCell="J10" sqref="J10"/>
    </sheetView>
  </sheetViews>
  <sheetFormatPr baseColWidth="10" defaultColWidth="8.85546875" defaultRowHeight="15" x14ac:dyDescent="0.25"/>
  <cols>
    <col min="2" max="2" width="0.5703125" customWidth="1"/>
    <col min="3" max="3" width="12" customWidth="1"/>
    <col min="6" max="6" width="32.7109375" bestFit="1" customWidth="1"/>
    <col min="7" max="10" width="12.7109375" customWidth="1"/>
    <col min="11" max="11" width="0.5703125" customWidth="1"/>
    <col min="12" max="12" width="15.28515625" customWidth="1"/>
  </cols>
  <sheetData>
    <row r="5" spans="3:12" x14ac:dyDescent="0.25">
      <c r="C5" s="14" t="s">
        <v>19</v>
      </c>
    </row>
    <row r="7" spans="3:12" ht="1.9" customHeight="1" thickBot="1" x14ac:dyDescent="0.3"/>
    <row r="8" spans="3:12" ht="30.75" thickBot="1" x14ac:dyDescent="0.3">
      <c r="C8" s="3" t="s">
        <v>0</v>
      </c>
      <c r="D8" s="4" t="s">
        <v>8</v>
      </c>
      <c r="E8" s="4" t="s">
        <v>9</v>
      </c>
      <c r="F8" s="3" t="s">
        <v>1</v>
      </c>
      <c r="G8" s="3" t="s">
        <v>10</v>
      </c>
      <c r="H8" s="4" t="s">
        <v>12</v>
      </c>
      <c r="I8" s="4" t="s">
        <v>13</v>
      </c>
      <c r="J8" s="4" t="s">
        <v>14</v>
      </c>
      <c r="L8" s="4" t="s">
        <v>70</v>
      </c>
    </row>
    <row r="9" spans="3:12" ht="30" customHeight="1" x14ac:dyDescent="0.25">
      <c r="C9" s="12">
        <v>43593</v>
      </c>
      <c r="D9" s="1" t="s">
        <v>53</v>
      </c>
      <c r="E9" s="1">
        <v>184</v>
      </c>
      <c r="F9" s="1" t="s">
        <v>67</v>
      </c>
      <c r="G9" s="8"/>
      <c r="H9" s="8">
        <f>250*35000</f>
        <v>8750000</v>
      </c>
      <c r="I9" s="8">
        <f>+H9*0.19</f>
        <v>1662500</v>
      </c>
      <c r="J9" s="8">
        <f>+H9+I9</f>
        <v>10412500</v>
      </c>
      <c r="L9" s="8">
        <f>+Tarjetas!K9</f>
        <v>5190000</v>
      </c>
    </row>
    <row r="10" spans="3:12" ht="30" customHeight="1" x14ac:dyDescent="0.25">
      <c r="C10" s="12">
        <v>43600</v>
      </c>
      <c r="D10" s="1" t="s">
        <v>76</v>
      </c>
      <c r="E10" s="1">
        <v>23</v>
      </c>
      <c r="F10" s="1" t="s">
        <v>67</v>
      </c>
      <c r="G10" s="8"/>
      <c r="H10" s="8">
        <f>-15*35000</f>
        <v>-525000</v>
      </c>
      <c r="I10" s="8">
        <f>+H10*0.19</f>
        <v>-99750</v>
      </c>
      <c r="J10" s="8">
        <f>+H10+I10</f>
        <v>-624750</v>
      </c>
      <c r="L10" s="8"/>
    </row>
    <row r="11" spans="3:12" ht="30" customHeight="1" x14ac:dyDescent="0.25">
      <c r="C11" s="13"/>
      <c r="D11" s="2"/>
      <c r="E11" s="2"/>
      <c r="F11" s="1"/>
      <c r="G11" s="9"/>
      <c r="H11" s="9"/>
      <c r="I11" s="8"/>
      <c r="J11" s="8"/>
      <c r="L11" s="8"/>
    </row>
    <row r="12" spans="3:12" ht="30" customHeight="1" x14ac:dyDescent="0.25">
      <c r="C12" s="2"/>
      <c r="D12" s="2"/>
      <c r="E12" s="2"/>
      <c r="F12" s="2"/>
      <c r="G12" s="9"/>
      <c r="H12" s="9"/>
      <c r="I12" s="9"/>
      <c r="J12" s="9"/>
      <c r="L12" s="9"/>
    </row>
    <row r="13" spans="3:12" ht="30" customHeight="1" thickBot="1" x14ac:dyDescent="0.3">
      <c r="C13" s="2"/>
      <c r="D13" s="2"/>
      <c r="E13" s="2"/>
      <c r="F13" s="2"/>
      <c r="G13" s="9"/>
      <c r="H13" s="10"/>
      <c r="I13" s="10"/>
      <c r="J13" s="10"/>
      <c r="L13" s="10"/>
    </row>
    <row r="14" spans="3:12" ht="30" customHeight="1" x14ac:dyDescent="0.25">
      <c r="C14" s="5"/>
      <c r="D14" s="6"/>
      <c r="E14" s="6"/>
      <c r="F14" s="6"/>
      <c r="G14" s="11"/>
      <c r="H14" s="8">
        <f>SUM(H9:H13)</f>
        <v>8225000</v>
      </c>
      <c r="I14" s="8">
        <f>SUM(I9:I13)</f>
        <v>1562750</v>
      </c>
      <c r="J14" s="8">
        <f>SUM(J9:J13)</f>
        <v>9787750</v>
      </c>
      <c r="L14" s="8">
        <f>SUM(L9:L13)</f>
        <v>5190000</v>
      </c>
    </row>
    <row r="15" spans="3:12" ht="1.9" customHeight="1" x14ac:dyDescent="0.25"/>
    <row r="18" spans="9:9" x14ac:dyDescent="0.25">
      <c r="I18" s="7"/>
    </row>
    <row r="19" spans="9:9" x14ac:dyDescent="0.25">
      <c r="I19" s="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1"/>
  <sheetViews>
    <sheetView showGridLines="0" tabSelected="1" topLeftCell="A20" workbookViewId="0">
      <selection activeCell="E57" sqref="E57"/>
    </sheetView>
  </sheetViews>
  <sheetFormatPr baseColWidth="10" defaultColWidth="11.42578125" defaultRowHeight="15" x14ac:dyDescent="0.25"/>
  <cols>
    <col min="1" max="1" width="4" style="24" bestFit="1" customWidth="1"/>
    <col min="2" max="2" width="9.5703125" style="24" customWidth="1"/>
    <col min="3" max="4" width="7.7109375" style="24" customWidth="1"/>
    <col min="5" max="5" width="29.85546875" style="24" customWidth="1"/>
    <col min="6" max="6" width="36.7109375" style="24" customWidth="1"/>
    <col min="7" max="8" width="14.7109375" style="24" customWidth="1"/>
    <col min="9" max="9" width="5.42578125" style="24" customWidth="1"/>
    <col min="10" max="10" width="10.7109375" style="24" bestFit="1" customWidth="1"/>
    <col min="11" max="11" width="33.140625" style="24" customWidth="1"/>
    <col min="12" max="13" width="11.42578125" style="24"/>
    <col min="14" max="14" width="38.28515625" style="24" customWidth="1"/>
    <col min="15" max="15" width="15.85546875" style="24" customWidth="1"/>
    <col min="16" max="16" width="15.28515625" style="24" customWidth="1"/>
    <col min="17" max="17" width="11.85546875" style="24" bestFit="1" customWidth="1"/>
    <col min="18" max="18" width="13.42578125" style="24" customWidth="1"/>
    <col min="19" max="16384" width="11.42578125" style="24"/>
  </cols>
  <sheetData>
    <row r="1" spans="1:18" ht="24" customHeight="1" x14ac:dyDescent="0.25">
      <c r="B1" s="25"/>
      <c r="J1" s="66"/>
      <c r="K1" s="66"/>
      <c r="L1" s="66"/>
    </row>
    <row r="2" spans="1:18" x14ac:dyDescent="0.25">
      <c r="B2" s="25" t="s">
        <v>26</v>
      </c>
      <c r="E2" s="67" t="s">
        <v>27</v>
      </c>
      <c r="F2" s="67"/>
      <c r="G2" s="68" t="str">
        <f>IF(G3=H3,"","¡¡¡ OJO, No Cuadra !!!")</f>
        <v/>
      </c>
      <c r="H2" s="68"/>
    </row>
    <row r="3" spans="1:18" ht="15.75" thickBot="1" x14ac:dyDescent="0.3">
      <c r="F3" s="26" t="s">
        <v>28</v>
      </c>
      <c r="G3" s="24">
        <f>SUM(G6:G87)</f>
        <v>164513500</v>
      </c>
      <c r="H3" s="24">
        <f>SUM(H6:H87)</f>
        <v>164513500</v>
      </c>
      <c r="J3" s="69" t="s">
        <v>29</v>
      </c>
      <c r="K3" s="69"/>
      <c r="M3" s="69" t="s">
        <v>50</v>
      </c>
      <c r="N3" s="69"/>
      <c r="O3" s="69"/>
      <c r="P3" s="69"/>
      <c r="Q3" s="69"/>
      <c r="R3" s="69"/>
    </row>
    <row r="4" spans="1:18" ht="15.75" thickTop="1" x14ac:dyDescent="0.25">
      <c r="A4" s="58" t="s">
        <v>30</v>
      </c>
      <c r="B4" s="58" t="s">
        <v>31</v>
      </c>
      <c r="C4" s="70" t="s">
        <v>32</v>
      </c>
      <c r="D4" s="71"/>
      <c r="E4" s="72" t="s">
        <v>33</v>
      </c>
      <c r="F4" s="73"/>
      <c r="G4" s="58" t="s">
        <v>34</v>
      </c>
      <c r="H4" s="58" t="s">
        <v>35</v>
      </c>
      <c r="J4" s="60" t="s">
        <v>36</v>
      </c>
      <c r="K4" s="62" t="s">
        <v>37</v>
      </c>
      <c r="M4" s="64" t="s">
        <v>36</v>
      </c>
      <c r="N4" s="52" t="s">
        <v>33</v>
      </c>
      <c r="O4" s="52" t="s">
        <v>38</v>
      </c>
      <c r="P4" s="52" t="s">
        <v>39</v>
      </c>
      <c r="Q4" s="54" t="s">
        <v>40</v>
      </c>
      <c r="R4" s="55"/>
    </row>
    <row r="5" spans="1:18" ht="15.75" thickBot="1" x14ac:dyDescent="0.3">
      <c r="A5" s="59"/>
      <c r="B5" s="59"/>
      <c r="C5" s="27" t="s">
        <v>15</v>
      </c>
      <c r="D5" s="27" t="s">
        <v>16</v>
      </c>
      <c r="E5" s="74"/>
      <c r="F5" s="75"/>
      <c r="G5" s="59"/>
      <c r="H5" s="59"/>
      <c r="J5" s="61"/>
      <c r="K5" s="63"/>
      <c r="M5" s="65"/>
      <c r="N5" s="53"/>
      <c r="O5" s="53"/>
      <c r="P5" s="53"/>
      <c r="Q5" s="28" t="s">
        <v>41</v>
      </c>
      <c r="R5" s="29" t="s">
        <v>42</v>
      </c>
    </row>
    <row r="6" spans="1:18" ht="15.75" thickTop="1" x14ac:dyDescent="0.25">
      <c r="A6" s="30">
        <v>1</v>
      </c>
      <c r="B6" s="31">
        <v>43586</v>
      </c>
      <c r="C6" s="32">
        <v>11</v>
      </c>
      <c r="D6" s="32"/>
      <c r="E6" s="33" t="str">
        <f t="shared" ref="E6:F8" si="0">IF(C6&lt;&gt;"",VLOOKUP(C6,$J$6:$K$47,2,FALSE),"")</f>
        <v>Caja</v>
      </c>
      <c r="F6" s="33" t="str">
        <f t="shared" si="0"/>
        <v/>
      </c>
      <c r="G6" s="32">
        <v>40000000</v>
      </c>
      <c r="H6" s="34"/>
      <c r="J6" s="35">
        <v>10</v>
      </c>
      <c r="K6" s="35" t="s">
        <v>43</v>
      </c>
      <c r="L6" s="36" t="str">
        <f>LEFT(M6)</f>
        <v>1</v>
      </c>
      <c r="M6" s="37">
        <v>11</v>
      </c>
      <c r="N6" s="37" t="str">
        <f t="shared" ref="N6:N29" si="1">IF(M6&lt;&gt;"",VLOOKUP(M6,$J$6:$K$47,2,FALSE),"")</f>
        <v>Caja</v>
      </c>
      <c r="O6" s="24">
        <f>SUMIFS($G$6:$G$91,$C$6:$C$91,M6)</f>
        <v>50412500</v>
      </c>
      <c r="P6" s="24">
        <f>IF(M6&lt;&gt;"",SUMIFS($H$6:$H$91,$D$6:$D$91,M6),"")</f>
        <v>50412500</v>
      </c>
      <c r="Q6" s="24">
        <f>IF(M6&lt;&gt;"",IF(OR(LEFT(M6)="1",LEFT(M6)="5"),O6-P6,0),"")</f>
        <v>0</v>
      </c>
      <c r="R6" s="24">
        <f>IF(M6&lt;&gt;"",IF(OR(LEFT(M6)="2",LEFT(M6)="3",LEFT(M6)="4"),P6-O6,0),"")</f>
        <v>0</v>
      </c>
    </row>
    <row r="7" spans="1:18" x14ac:dyDescent="0.25">
      <c r="A7" s="30"/>
      <c r="B7" s="31"/>
      <c r="C7" s="32"/>
      <c r="D7" s="32">
        <v>31</v>
      </c>
      <c r="E7" s="33" t="str">
        <f t="shared" si="0"/>
        <v/>
      </c>
      <c r="F7" s="33" t="str">
        <f t="shared" si="0"/>
        <v>Capital</v>
      </c>
      <c r="G7" s="32"/>
      <c r="H7" s="34">
        <f>+G6</f>
        <v>40000000</v>
      </c>
      <c r="J7" s="38">
        <v>11</v>
      </c>
      <c r="K7" s="38" t="s">
        <v>22</v>
      </c>
      <c r="M7" s="37">
        <v>12</v>
      </c>
      <c r="N7" s="37" t="str">
        <f t="shared" si="1"/>
        <v>Banco</v>
      </c>
      <c r="O7" s="24">
        <f>SUMIFS($G$6:$G$91,$C$6:$C$91,M7)</f>
        <v>50412500</v>
      </c>
      <c r="P7" s="24">
        <f>IF(M7&lt;&gt;"",SUMIFS($H$6:$H$91,$D$6:$D$91,M7),"")</f>
        <v>13595750</v>
      </c>
      <c r="Q7" s="24">
        <f t="shared" ref="Q7:Q29" si="2">IF(M7&lt;&gt;"",IF(OR(LEFT(M7)="1",LEFT(M7)="5"),O7-P7,0),"")</f>
        <v>36816750</v>
      </c>
      <c r="R7" s="24">
        <f t="shared" ref="R7:R29" si="3">IF(M7&lt;&gt;"",IF(OR(LEFT(M7)="2",LEFT(M7)="3",LEFT(M7)="4"),P7-O7,0),"")</f>
        <v>0</v>
      </c>
    </row>
    <row r="8" spans="1:18" x14ac:dyDescent="0.25">
      <c r="A8" s="30"/>
      <c r="B8" s="31"/>
      <c r="C8" s="32"/>
      <c r="D8" s="32"/>
      <c r="E8" s="33" t="str">
        <f t="shared" si="0"/>
        <v/>
      </c>
      <c r="F8" s="33" t="str">
        <f t="shared" si="0"/>
        <v/>
      </c>
      <c r="G8" s="32"/>
      <c r="H8" s="34"/>
      <c r="J8" s="38">
        <v>12</v>
      </c>
      <c r="K8" s="38" t="s">
        <v>49</v>
      </c>
      <c r="M8" s="37">
        <v>13</v>
      </c>
      <c r="N8" s="37" t="str">
        <f t="shared" si="1"/>
        <v>Clientes</v>
      </c>
      <c r="O8" s="24">
        <f>SUMIFS($G$6:$G$91,$C$6:$C$91,M8)</f>
        <v>11037250</v>
      </c>
      <c r="P8" s="24">
        <f>IF(M8&lt;&gt;"",SUMIFS($H$6:$H$91,$D$6:$D$91,M8),"")</f>
        <v>11037250</v>
      </c>
      <c r="Q8" s="24">
        <f t="shared" si="2"/>
        <v>0</v>
      </c>
      <c r="R8" s="24">
        <f t="shared" si="3"/>
        <v>0</v>
      </c>
    </row>
    <row r="9" spans="1:18" x14ac:dyDescent="0.25">
      <c r="A9" s="39"/>
      <c r="B9" s="40"/>
      <c r="C9" s="41"/>
      <c r="D9" s="41"/>
      <c r="E9" s="42" t="s">
        <v>51</v>
      </c>
      <c r="F9" s="42"/>
      <c r="G9" s="41"/>
      <c r="H9" s="43"/>
      <c r="J9" s="38">
        <v>13</v>
      </c>
      <c r="K9" s="38" t="s">
        <v>59</v>
      </c>
      <c r="M9" s="37">
        <v>14</v>
      </c>
      <c r="N9" s="37" t="str">
        <f t="shared" ref="N9:N14" si="4">IF(M9&lt;&gt;"",VLOOKUP(M9,$J$6:$K$47,2,FALSE),"")</f>
        <v>Mercaderías</v>
      </c>
      <c r="O9" s="24">
        <f>SUMIFS($G$6:$G$91,$C$6:$C$91,M9)</f>
        <v>28507500</v>
      </c>
      <c r="P9" s="24">
        <f>IF(M9&lt;&gt;"",SUMIFS($H$6:$H$91,$D$6:$D$91,M9),"")</f>
        <v>5190000</v>
      </c>
      <c r="Q9" s="24">
        <f t="shared" ref="Q9:Q14" si="5">IF(M9&lt;&gt;"",IF(OR(LEFT(M9)="1",LEFT(M9)="5"),O9-P9,0),"")</f>
        <v>23317500</v>
      </c>
      <c r="R9" s="24">
        <f t="shared" ref="R9:R14" si="6">IF(M9&lt;&gt;"",IF(OR(LEFT(M9)="2",LEFT(M9)="3",LEFT(M9)="4"),P9-O9,0),"")</f>
        <v>0</v>
      </c>
    </row>
    <row r="10" spans="1:18" x14ac:dyDescent="0.25">
      <c r="A10" s="30">
        <v>2</v>
      </c>
      <c r="B10" s="31">
        <v>43586</v>
      </c>
      <c r="C10" s="32">
        <v>12</v>
      </c>
      <c r="D10" s="32"/>
      <c r="E10" s="33" t="str">
        <f t="shared" ref="E10:F12" si="7">IF(C10&lt;&gt;"",VLOOKUP(C10,$J$6:$K$47,2,FALSE),"")</f>
        <v>Banco</v>
      </c>
      <c r="F10" s="33" t="str">
        <f t="shared" si="7"/>
        <v/>
      </c>
      <c r="G10" s="32">
        <f>+G6</f>
        <v>40000000</v>
      </c>
      <c r="H10" s="34"/>
      <c r="J10" s="38">
        <v>14</v>
      </c>
      <c r="K10" s="38" t="s">
        <v>56</v>
      </c>
      <c r="M10" s="37">
        <v>15</v>
      </c>
      <c r="N10" s="37" t="str">
        <f t="shared" si="4"/>
        <v>IVA CF</v>
      </c>
      <c r="O10" s="24">
        <f>SUMIFS($G$6:$G$91,$C$6:$C$91,M10)</f>
        <v>5358000</v>
      </c>
      <c r="P10" s="24">
        <f>IF(M10&lt;&gt;"",SUMIFS($H$6:$H$91,$D$6:$D$91,M10),"")</f>
        <v>0</v>
      </c>
      <c r="Q10" s="24">
        <f t="shared" si="5"/>
        <v>5358000</v>
      </c>
      <c r="R10" s="24">
        <f t="shared" si="6"/>
        <v>0</v>
      </c>
    </row>
    <row r="11" spans="1:18" x14ac:dyDescent="0.25">
      <c r="A11" s="30"/>
      <c r="B11" s="31"/>
      <c r="C11" s="32"/>
      <c r="D11" s="32">
        <v>11</v>
      </c>
      <c r="E11" s="33" t="str">
        <f t="shared" si="7"/>
        <v/>
      </c>
      <c r="F11" s="33" t="str">
        <f t="shared" si="7"/>
        <v>Caja</v>
      </c>
      <c r="G11" s="32"/>
      <c r="H11" s="34">
        <f>+G10</f>
        <v>40000000</v>
      </c>
      <c r="J11" s="38">
        <v>15</v>
      </c>
      <c r="K11" s="38" t="s">
        <v>60</v>
      </c>
      <c r="M11" s="37">
        <v>16</v>
      </c>
      <c r="N11" s="37">
        <f t="shared" si="4"/>
        <v>0</v>
      </c>
      <c r="O11" s="24">
        <f>SUMIFS($G$6:$G$91,$C$6:$C$91,M11)</f>
        <v>0</v>
      </c>
      <c r="P11" s="24">
        <f>IF(M11&lt;&gt;"",SUMIFS($H$6:$H$91,$D$6:$D$91,M11),"")</f>
        <v>0</v>
      </c>
      <c r="Q11" s="24">
        <f t="shared" si="5"/>
        <v>0</v>
      </c>
      <c r="R11" s="24">
        <f t="shared" si="6"/>
        <v>0</v>
      </c>
    </row>
    <row r="12" spans="1:18" x14ac:dyDescent="0.25">
      <c r="A12" s="30"/>
      <c r="B12" s="31"/>
      <c r="C12" s="32"/>
      <c r="D12" s="32"/>
      <c r="E12" s="33" t="str">
        <f t="shared" si="7"/>
        <v/>
      </c>
      <c r="F12" s="33" t="str">
        <f t="shared" si="7"/>
        <v/>
      </c>
      <c r="G12" s="32"/>
      <c r="H12" s="34"/>
      <c r="J12" s="38">
        <v>16</v>
      </c>
      <c r="K12" s="38"/>
      <c r="M12" s="37">
        <v>17</v>
      </c>
      <c r="N12" s="37">
        <f t="shared" si="4"/>
        <v>0</v>
      </c>
      <c r="O12" s="24">
        <f>SUMIFS($G$6:$G$91,$C$6:$C$91,M12)</f>
        <v>0</v>
      </c>
      <c r="P12" s="24">
        <f>IF(M12&lt;&gt;"",SUMIFS($H$6:$H$91,$D$6:$D$91,M12),"")</f>
        <v>0</v>
      </c>
      <c r="Q12" s="24">
        <f t="shared" si="5"/>
        <v>0</v>
      </c>
      <c r="R12" s="24">
        <f t="shared" si="6"/>
        <v>0</v>
      </c>
    </row>
    <row r="13" spans="1:18" x14ac:dyDescent="0.25">
      <c r="A13" s="39"/>
      <c r="B13" s="40"/>
      <c r="C13" s="41"/>
      <c r="D13" s="41"/>
      <c r="E13" s="42" t="s">
        <v>52</v>
      </c>
      <c r="F13" s="42" t="str">
        <f>IF(D13&lt;&gt;"",VLOOKUP(D13,$J$6:$K$47,2,FALSE),"")</f>
        <v/>
      </c>
      <c r="G13" s="41"/>
      <c r="H13" s="43"/>
      <c r="J13" s="38">
        <v>17</v>
      </c>
      <c r="K13" s="38"/>
      <c r="M13" s="37">
        <v>18</v>
      </c>
      <c r="N13" s="37">
        <f t="shared" si="4"/>
        <v>0</v>
      </c>
      <c r="O13" s="24">
        <f>SUMIFS($G$6:$G$91,$C$6:$C$91,M13)</f>
        <v>0</v>
      </c>
      <c r="P13" s="24">
        <f>IF(M13&lt;&gt;"",SUMIFS($H$6:$H$91,$D$6:$D$91,M13),"")</f>
        <v>0</v>
      </c>
      <c r="Q13" s="24">
        <f t="shared" si="5"/>
        <v>0</v>
      </c>
      <c r="R13" s="24">
        <f t="shared" si="6"/>
        <v>0</v>
      </c>
    </row>
    <row r="14" spans="1:18" x14ac:dyDescent="0.25">
      <c r="A14" s="30">
        <v>3</v>
      </c>
      <c r="B14" s="31">
        <v>43586</v>
      </c>
      <c r="C14" s="32">
        <v>14</v>
      </c>
      <c r="D14" s="32"/>
      <c r="E14" s="33" t="str">
        <f>IF(C14&lt;&gt;"",VLOOKUP(C14,$J$6:$K$47,2,FALSE),"")</f>
        <v>Mercaderías</v>
      </c>
      <c r="F14" s="33" t="str">
        <f>IF(D14&lt;&gt;"",VLOOKUP(D14,$J$6:$K$47,2,FALSE),"")</f>
        <v/>
      </c>
      <c r="G14" s="32">
        <f>+'Libro Compra'!I7</f>
        <v>4100000</v>
      </c>
      <c r="H14" s="34"/>
      <c r="J14" s="38">
        <v>18</v>
      </c>
      <c r="K14" s="38"/>
      <c r="M14" s="24">
        <v>19</v>
      </c>
      <c r="N14" s="37">
        <f t="shared" si="4"/>
        <v>0</v>
      </c>
      <c r="O14" s="24">
        <f>SUMIFS($G$6:$G$91,$C$6:$C$91,M14)</f>
        <v>0</v>
      </c>
      <c r="P14" s="24">
        <f>IF(M14&lt;&gt;"",SUMIFS($H$6:$H$91,$D$6:$D$91,M14),"")</f>
        <v>0</v>
      </c>
      <c r="Q14" s="24">
        <f t="shared" si="5"/>
        <v>0</v>
      </c>
      <c r="R14" s="24">
        <f t="shared" si="6"/>
        <v>0</v>
      </c>
    </row>
    <row r="15" spans="1:18" x14ac:dyDescent="0.25">
      <c r="A15" s="30"/>
      <c r="B15" s="31"/>
      <c r="C15" s="32">
        <v>15</v>
      </c>
      <c r="D15" s="32"/>
      <c r="E15" s="33" t="str">
        <f>IF(C15&lt;&gt;"",VLOOKUP(C15,$J$6:$K$47,2,FALSE),"")</f>
        <v>IVA CF</v>
      </c>
      <c r="F15" s="33" t="str">
        <f>IF(D15&lt;&gt;"",VLOOKUP(D15,$J$6:$K$47,2,FALSE),"")</f>
        <v/>
      </c>
      <c r="G15" s="32">
        <f>+'Libro Compra'!J7</f>
        <v>779000</v>
      </c>
      <c r="H15" s="34"/>
      <c r="J15" s="38">
        <v>19</v>
      </c>
      <c r="K15" s="38"/>
      <c r="M15" s="37">
        <v>21</v>
      </c>
      <c r="N15" s="37" t="str">
        <f t="shared" si="1"/>
        <v>Proveedores</v>
      </c>
      <c r="O15" s="24">
        <f>SUMIFS($G$6:$G$91,$C$6:$C$91,M15)</f>
        <v>12971000</v>
      </c>
      <c r="P15" s="24">
        <f>IF(M15&lt;&gt;"",SUMIFS($H$6:$H$91,$D$6:$D$91,M15),"")</f>
        <v>33558000</v>
      </c>
      <c r="Q15" s="24">
        <f t="shared" si="2"/>
        <v>0</v>
      </c>
      <c r="R15" s="24">
        <f t="shared" si="3"/>
        <v>20587000</v>
      </c>
    </row>
    <row r="16" spans="1:18" x14ac:dyDescent="0.25">
      <c r="A16" s="30"/>
      <c r="B16" s="31"/>
      <c r="C16" s="32"/>
      <c r="D16" s="32">
        <v>21</v>
      </c>
      <c r="E16" s="33" t="str">
        <f>IF(C16&lt;&gt;"",VLOOKUP(C16,$J$6:$K$47,2,FALSE),"")</f>
        <v/>
      </c>
      <c r="F16" s="33" t="str">
        <f>IF(D16&lt;&gt;"",VLOOKUP(D16,$J$6:$K$47,2,FALSE),"")</f>
        <v>Proveedores</v>
      </c>
      <c r="G16" s="32"/>
      <c r="H16" s="34">
        <f>+'Libro Compra'!K7</f>
        <v>4879000</v>
      </c>
      <c r="J16" s="35">
        <v>20</v>
      </c>
      <c r="K16" s="35" t="s">
        <v>44</v>
      </c>
      <c r="M16" s="37">
        <v>22</v>
      </c>
      <c r="N16" s="37" t="str">
        <f t="shared" si="1"/>
        <v>IVA DF</v>
      </c>
      <c r="O16" s="24">
        <f>SUMIFS($G$6:$G$91,$C$6:$C$91,M16)</f>
        <v>99750</v>
      </c>
      <c r="P16" s="24">
        <f>IF(M16&lt;&gt;"",SUMIFS($H$6:$H$91,$D$6:$D$91,M16),"")</f>
        <v>1662500</v>
      </c>
      <c r="Q16" s="24">
        <f t="shared" si="2"/>
        <v>0</v>
      </c>
      <c r="R16" s="24">
        <f t="shared" si="3"/>
        <v>1562750</v>
      </c>
    </row>
    <row r="17" spans="1:18" x14ac:dyDescent="0.25">
      <c r="A17" s="39"/>
      <c r="B17" s="40"/>
      <c r="C17" s="41"/>
      <c r="D17" s="41"/>
      <c r="E17" s="42" t="s">
        <v>61</v>
      </c>
      <c r="F17" s="42"/>
      <c r="G17" s="41"/>
      <c r="H17" s="43"/>
      <c r="J17" s="38">
        <v>21</v>
      </c>
      <c r="K17" s="38" t="s">
        <v>58</v>
      </c>
      <c r="M17" s="37">
        <v>23</v>
      </c>
      <c r="N17" s="37">
        <f t="shared" si="1"/>
        <v>0</v>
      </c>
      <c r="O17" s="24">
        <f>SUMIFS($G$6:$G$91,$C$6:$C$91,M17)</f>
        <v>0</v>
      </c>
      <c r="P17" s="24">
        <f>IF(M17&lt;&gt;"",SUMIFS($H$6:$H$91,$D$6:$D$91,M17),"")</f>
        <v>0</v>
      </c>
      <c r="Q17" s="24">
        <f t="shared" si="2"/>
        <v>0</v>
      </c>
      <c r="R17" s="24">
        <f t="shared" si="3"/>
        <v>0</v>
      </c>
    </row>
    <row r="18" spans="1:18" x14ac:dyDescent="0.25">
      <c r="A18" s="30">
        <v>4</v>
      </c>
      <c r="B18" s="31">
        <v>43588</v>
      </c>
      <c r="C18" s="32">
        <v>14</v>
      </c>
      <c r="D18" s="32"/>
      <c r="E18" s="33" t="str">
        <f>IF(C18&lt;&gt;"",VLOOKUP(C18,$J$6:$K$47,2,FALSE),"")</f>
        <v>Mercaderías</v>
      </c>
      <c r="F18" s="33" t="str">
        <f>IF(D18&lt;&gt;"",VLOOKUP(D18,$J$6:$K$47,2,FALSE),"")</f>
        <v/>
      </c>
      <c r="G18" s="32">
        <f>500*21800</f>
        <v>10900000</v>
      </c>
      <c r="H18" s="34"/>
      <c r="J18" s="38">
        <v>22</v>
      </c>
      <c r="K18" s="38" t="s">
        <v>71</v>
      </c>
      <c r="M18" s="37">
        <v>24</v>
      </c>
      <c r="N18" s="37">
        <f t="shared" si="1"/>
        <v>0</v>
      </c>
      <c r="O18" s="24">
        <f>SUMIFS($G$6:$G$91,$C$6:$C$91,M18)</f>
        <v>0</v>
      </c>
      <c r="P18" s="24">
        <f>IF(M18&lt;&gt;"",SUMIFS($H$6:$H$91,$D$6:$D$91,M18),"")</f>
        <v>0</v>
      </c>
      <c r="Q18" s="24">
        <f t="shared" si="2"/>
        <v>0</v>
      </c>
      <c r="R18" s="24">
        <f t="shared" si="3"/>
        <v>0</v>
      </c>
    </row>
    <row r="19" spans="1:18" x14ac:dyDescent="0.25">
      <c r="A19" s="30"/>
      <c r="B19" s="31"/>
      <c r="C19" s="32">
        <v>15</v>
      </c>
      <c r="D19" s="32"/>
      <c r="E19" s="33" t="str">
        <f>IF(C19&lt;&gt;"",VLOOKUP(C19,$J$6:$K$47,2,FALSE),"")</f>
        <v>IVA CF</v>
      </c>
      <c r="F19" s="33" t="str">
        <f>IF(D19&lt;&gt;"",VLOOKUP(D19,$J$6:$K$47,2,FALSE),"")</f>
        <v/>
      </c>
      <c r="G19" s="32">
        <f>+G18*0.19</f>
        <v>2071000</v>
      </c>
      <c r="H19" s="34"/>
      <c r="J19" s="38">
        <v>23</v>
      </c>
      <c r="K19" s="38"/>
      <c r="M19" s="37">
        <v>31</v>
      </c>
      <c r="N19" s="37" t="str">
        <f t="shared" si="1"/>
        <v>Capital</v>
      </c>
      <c r="O19" s="24">
        <f>SUMIFS($G$6:$G$91,$C$6:$C$91,M19)</f>
        <v>0</v>
      </c>
      <c r="P19" s="24">
        <f>IF(M19&lt;&gt;"",SUMIFS($H$6:$H$91,$D$6:$D$91,M19),"")</f>
        <v>40000000</v>
      </c>
      <c r="Q19" s="24">
        <f t="shared" si="2"/>
        <v>0</v>
      </c>
      <c r="R19" s="24">
        <f t="shared" si="3"/>
        <v>40000000</v>
      </c>
    </row>
    <row r="20" spans="1:18" x14ac:dyDescent="0.25">
      <c r="A20" s="30"/>
      <c r="B20" s="31"/>
      <c r="C20" s="32"/>
      <c r="D20" s="32">
        <v>21</v>
      </c>
      <c r="E20" s="33" t="str">
        <f>IF(C20&lt;&gt;"",VLOOKUP(C20,$J$6:$K$47,2,FALSE),"")</f>
        <v/>
      </c>
      <c r="F20" s="33" t="str">
        <f>IF(D20&lt;&gt;"",VLOOKUP(D20,$J$6:$K$47,2,FALSE),"")</f>
        <v>Proveedores</v>
      </c>
      <c r="G20" s="32"/>
      <c r="H20" s="34">
        <f>+G18+G19</f>
        <v>12971000</v>
      </c>
      <c r="J20" s="38">
        <v>24</v>
      </c>
      <c r="K20" s="38"/>
      <c r="M20" s="37">
        <v>32</v>
      </c>
      <c r="N20" s="37">
        <f t="shared" si="1"/>
        <v>0</v>
      </c>
      <c r="O20" s="24">
        <f>SUMIFS($G$6:$G$91,$C$6:$C$91,M20)</f>
        <v>0</v>
      </c>
      <c r="P20" s="24">
        <f>IF(M20&lt;&gt;"",SUMIFS($H$6:$H$91,$D$6:$D$91,M20),"")</f>
        <v>0</v>
      </c>
      <c r="Q20" s="24">
        <f t="shared" si="2"/>
        <v>0</v>
      </c>
      <c r="R20" s="24">
        <f t="shared" si="3"/>
        <v>0</v>
      </c>
    </row>
    <row r="21" spans="1:18" x14ac:dyDescent="0.25">
      <c r="A21" s="39"/>
      <c r="B21" s="40"/>
      <c r="C21" s="41"/>
      <c r="D21" s="41"/>
      <c r="E21" s="42" t="s">
        <v>61</v>
      </c>
      <c r="F21" s="42"/>
      <c r="G21" s="41"/>
      <c r="H21" s="43"/>
      <c r="J21" s="35">
        <v>30</v>
      </c>
      <c r="K21" s="35" t="s">
        <v>45</v>
      </c>
      <c r="M21" s="37">
        <v>33</v>
      </c>
      <c r="N21" s="37">
        <f t="shared" si="1"/>
        <v>0</v>
      </c>
      <c r="O21" s="24">
        <f>SUMIFS($G$6:$G$91,$C$6:$C$91,M21)</f>
        <v>0</v>
      </c>
      <c r="P21" s="24">
        <f>IF(M21&lt;&gt;"",SUMIFS($H$6:$H$91,$D$6:$D$91,M21),"")</f>
        <v>0</v>
      </c>
      <c r="Q21" s="24">
        <f t="shared" si="2"/>
        <v>0</v>
      </c>
      <c r="R21" s="24">
        <f t="shared" si="3"/>
        <v>0</v>
      </c>
    </row>
    <row r="22" spans="1:18" x14ac:dyDescent="0.25">
      <c r="A22" s="30">
        <v>5</v>
      </c>
      <c r="B22" s="31">
        <v>43588</v>
      </c>
      <c r="C22" s="32">
        <v>21</v>
      </c>
      <c r="D22" s="32"/>
      <c r="E22" s="33" t="str">
        <f>IF(C22&lt;&gt;"",VLOOKUP(C22,$J$6:$K$47,2,FALSE),"")</f>
        <v>Proveedores</v>
      </c>
      <c r="F22" s="33" t="str">
        <f>IF(D22&lt;&gt;"",VLOOKUP(D22,$J$6:$K$47,2,FALSE),"")</f>
        <v/>
      </c>
      <c r="G22" s="32">
        <f>+H20</f>
        <v>12971000</v>
      </c>
      <c r="H22" s="34"/>
      <c r="J22" s="38">
        <v>31</v>
      </c>
      <c r="K22" s="38" t="s">
        <v>46</v>
      </c>
      <c r="M22" s="24">
        <v>41</v>
      </c>
      <c r="N22" s="24" t="str">
        <f t="shared" si="1"/>
        <v>Ingresos por ventas</v>
      </c>
      <c r="O22" s="24">
        <f>SUMIFS($G$6:$G$91,$C$6:$C$91,M22)</f>
        <v>525000</v>
      </c>
      <c r="P22" s="24">
        <f>IF(M22&lt;&gt;"",SUMIFS($H$6:$H$91,$D$6:$D$91,M22),"")</f>
        <v>8750000</v>
      </c>
      <c r="Q22" s="24">
        <f t="shared" si="2"/>
        <v>0</v>
      </c>
      <c r="R22" s="24">
        <f t="shared" si="3"/>
        <v>8225000</v>
      </c>
    </row>
    <row r="23" spans="1:18" x14ac:dyDescent="0.25">
      <c r="A23" s="30"/>
      <c r="B23" s="31"/>
      <c r="C23" s="32"/>
      <c r="D23" s="32">
        <v>12</v>
      </c>
      <c r="E23" s="33" t="str">
        <f>IF(C23&lt;&gt;"",VLOOKUP(C23,$J$6:$K$47,2,FALSE),"")</f>
        <v/>
      </c>
      <c r="F23" s="33" t="str">
        <f>IF(D23&lt;&gt;"",VLOOKUP(D23,$J$6:$K$47,2,FALSE),"")</f>
        <v>Banco</v>
      </c>
      <c r="G23" s="32"/>
      <c r="H23" s="34">
        <f>+G22</f>
        <v>12971000</v>
      </c>
      <c r="J23" s="38">
        <v>32</v>
      </c>
      <c r="K23" s="38"/>
      <c r="M23" s="24">
        <v>42</v>
      </c>
      <c r="N23" s="24">
        <f t="shared" si="1"/>
        <v>0</v>
      </c>
      <c r="O23" s="24">
        <f>SUMIFS($G$6:$G$91,$C$6:$C$91,M23)</f>
        <v>0</v>
      </c>
      <c r="P23" s="24">
        <f>IF(M23&lt;&gt;"",SUMIFS($H$6:$H$91,$D$6:$D$91,M23),"")</f>
        <v>0</v>
      </c>
      <c r="Q23" s="24">
        <f t="shared" si="2"/>
        <v>0</v>
      </c>
      <c r="R23" s="24">
        <f t="shared" si="3"/>
        <v>0</v>
      </c>
    </row>
    <row r="24" spans="1:18" x14ac:dyDescent="0.25">
      <c r="A24" s="44"/>
      <c r="B24" s="45"/>
      <c r="C24" s="41"/>
      <c r="D24" s="41"/>
      <c r="E24" s="42"/>
      <c r="F24" s="42"/>
      <c r="G24" s="41"/>
      <c r="H24" s="43"/>
      <c r="J24" s="38">
        <v>33</v>
      </c>
      <c r="K24" s="38"/>
      <c r="M24" s="24">
        <v>51</v>
      </c>
      <c r="N24" s="24" t="str">
        <f t="shared" si="1"/>
        <v>Costo de ventas</v>
      </c>
      <c r="O24" s="24">
        <f>SUMIFS($G$6:$G$91,$C$6:$C$91,M24)</f>
        <v>5190000</v>
      </c>
      <c r="P24" s="24">
        <f>IF(M24&lt;&gt;"",SUMIFS($H$6:$H$91,$D$6:$D$91,M24),"")</f>
        <v>307500</v>
      </c>
      <c r="Q24" s="24">
        <f t="shared" si="2"/>
        <v>4882500</v>
      </c>
      <c r="R24" s="24">
        <f t="shared" si="3"/>
        <v>0</v>
      </c>
    </row>
    <row r="25" spans="1:18" x14ac:dyDescent="0.25">
      <c r="A25" s="30">
        <v>6</v>
      </c>
      <c r="B25" s="31">
        <v>43593</v>
      </c>
      <c r="C25" s="32">
        <v>13</v>
      </c>
      <c r="D25" s="32"/>
      <c r="E25" s="33" t="str">
        <f>IF(C25&lt;&gt;"",VLOOKUP(C25,$J$6:$K$47,2,FALSE),"")</f>
        <v>Clientes</v>
      </c>
      <c r="F25" s="33" t="str">
        <f>IF(D25&lt;&gt;"",VLOOKUP(D25,$J$6:$K$47,2,FALSE),"")</f>
        <v/>
      </c>
      <c r="G25" s="32">
        <f>+'Libro Venta'!J9</f>
        <v>10412500</v>
      </c>
      <c r="H25" s="34"/>
      <c r="J25" s="35">
        <v>40</v>
      </c>
      <c r="K25" s="35" t="s">
        <v>47</v>
      </c>
      <c r="M25" s="24">
        <v>52</v>
      </c>
      <c r="N25" s="24">
        <f t="shared" si="1"/>
        <v>0</v>
      </c>
      <c r="O25" s="24">
        <f>SUMIFS($G$6:$G$91,$C$6:$C$91,M25)</f>
        <v>0</v>
      </c>
      <c r="P25" s="24">
        <f>IF(M25&lt;&gt;"",SUMIFS($H$6:$H$91,$D$6:$D$91,M25),"")</f>
        <v>0</v>
      </c>
      <c r="Q25" s="24">
        <f t="shared" si="2"/>
        <v>0</v>
      </c>
      <c r="R25" s="24">
        <f t="shared" si="3"/>
        <v>0</v>
      </c>
    </row>
    <row r="26" spans="1:18" x14ac:dyDescent="0.25">
      <c r="A26" s="30"/>
      <c r="B26" s="31"/>
      <c r="C26" s="32"/>
      <c r="D26" s="32">
        <v>41</v>
      </c>
      <c r="E26" s="33" t="str">
        <f>IF(C26&lt;&gt;"",VLOOKUP(C26,$J$6:$K$47,2,FALSE),"")</f>
        <v/>
      </c>
      <c r="F26" s="33" t="str">
        <f>IF(D26&lt;&gt;"",VLOOKUP(D26,$J$6:$K$47,2,FALSE),"")</f>
        <v>Ingresos por ventas</v>
      </c>
      <c r="G26" s="32"/>
      <c r="H26" s="34">
        <f>+'Libro Venta'!H9</f>
        <v>8750000</v>
      </c>
      <c r="J26" s="38">
        <v>41</v>
      </c>
      <c r="K26" s="38" t="s">
        <v>72</v>
      </c>
      <c r="M26" s="24">
        <v>53</v>
      </c>
      <c r="N26" s="24">
        <f t="shared" si="1"/>
        <v>0</v>
      </c>
      <c r="O26" s="24">
        <f>SUMIFS($G$6:$G$91,$C$6:$C$91,M26)</f>
        <v>0</v>
      </c>
      <c r="P26" s="24">
        <f>IF(M26&lt;&gt;"",SUMIFS($H$6:$H$91,$D$6:$D$91,M26),"")</f>
        <v>0</v>
      </c>
      <c r="Q26" s="24">
        <f t="shared" si="2"/>
        <v>0</v>
      </c>
      <c r="R26" s="24">
        <f t="shared" si="3"/>
        <v>0</v>
      </c>
    </row>
    <row r="27" spans="1:18" x14ac:dyDescent="0.25">
      <c r="A27" s="30"/>
      <c r="B27" s="31"/>
      <c r="C27" s="32"/>
      <c r="D27" s="32">
        <v>22</v>
      </c>
      <c r="E27" s="33" t="str">
        <f>IF(C27&lt;&gt;"",VLOOKUP(C27,$J$6:$K$47,2,FALSE),"")</f>
        <v/>
      </c>
      <c r="F27" s="33" t="str">
        <f>IF(D27&lt;&gt;"",VLOOKUP(D27,$J$6:$K$47,2,FALSE),"")</f>
        <v>IVA DF</v>
      </c>
      <c r="G27" s="32"/>
      <c r="H27" s="34">
        <f>+'Libro Venta'!I9</f>
        <v>1662500</v>
      </c>
      <c r="J27" s="38">
        <v>42</v>
      </c>
      <c r="K27" s="38"/>
      <c r="M27" s="24">
        <v>54</v>
      </c>
      <c r="N27" s="24">
        <f t="shared" si="1"/>
        <v>0</v>
      </c>
      <c r="O27" s="24">
        <f>SUMIFS($G$6:$G$91,$C$6:$C$91,M27)</f>
        <v>0</v>
      </c>
      <c r="P27" s="24">
        <f>IF(M27&lt;&gt;"",SUMIFS($H$6:$H$91,$D$6:$D$91,M27),"")</f>
        <v>0</v>
      </c>
      <c r="Q27" s="24">
        <f t="shared" si="2"/>
        <v>0</v>
      </c>
      <c r="R27" s="24">
        <f t="shared" si="3"/>
        <v>0</v>
      </c>
    </row>
    <row r="28" spans="1:18" x14ac:dyDescent="0.25">
      <c r="A28" s="44"/>
      <c r="B28" s="45"/>
      <c r="C28" s="41"/>
      <c r="D28" s="41"/>
      <c r="E28" s="42" t="s">
        <v>61</v>
      </c>
      <c r="F28" s="42"/>
      <c r="G28" s="41"/>
      <c r="H28" s="43"/>
      <c r="J28" s="35">
        <v>50</v>
      </c>
      <c r="K28" s="35" t="s">
        <v>48</v>
      </c>
      <c r="M28" s="24">
        <v>55</v>
      </c>
      <c r="N28" s="24">
        <f t="shared" si="1"/>
        <v>0</v>
      </c>
      <c r="O28" s="24">
        <f>SUMIFS($G$6:$G$91,$C$6:$C$91,M28)</f>
        <v>0</v>
      </c>
      <c r="P28" s="24">
        <f>IF(M28&lt;&gt;"",SUMIFS($H$6:$H$91,$D$6:$D$91,M28),"")</f>
        <v>0</v>
      </c>
      <c r="Q28" s="24">
        <f t="shared" si="2"/>
        <v>0</v>
      </c>
      <c r="R28" s="24">
        <f t="shared" si="3"/>
        <v>0</v>
      </c>
    </row>
    <row r="29" spans="1:18" ht="15.75" thickBot="1" x14ac:dyDescent="0.3">
      <c r="A29" s="30">
        <v>7</v>
      </c>
      <c r="B29" s="31">
        <v>43593</v>
      </c>
      <c r="C29" s="32">
        <v>51</v>
      </c>
      <c r="D29" s="32"/>
      <c r="E29" s="33" t="str">
        <f>IF(C29&lt;&gt;"",VLOOKUP(C29,$J$6:$K$47,2,FALSE),"")</f>
        <v>Costo de ventas</v>
      </c>
      <c r="F29" s="33" t="str">
        <f>IF(D29&lt;&gt;"",VLOOKUP(D29,$J$6:$K$47,2,FALSE),"")</f>
        <v/>
      </c>
      <c r="G29" s="32">
        <f>+Tarjetas!K9</f>
        <v>5190000</v>
      </c>
      <c r="H29" s="34"/>
      <c r="J29" s="38">
        <v>51</v>
      </c>
      <c r="K29" s="38" t="s">
        <v>73</v>
      </c>
      <c r="M29" s="24">
        <v>56</v>
      </c>
      <c r="N29" s="24">
        <f t="shared" si="1"/>
        <v>0</v>
      </c>
      <c r="O29" s="24">
        <f>SUMIFS($G$6:$G$91,$C$6:$C$91,M29)</f>
        <v>0</v>
      </c>
      <c r="P29" s="24">
        <f>IF(M29&lt;&gt;"",SUMIFS($H$6:$H$91,$D$6:$D$91,M29),"")</f>
        <v>0</v>
      </c>
      <c r="Q29" s="24">
        <f t="shared" si="2"/>
        <v>0</v>
      </c>
      <c r="R29" s="24">
        <f t="shared" si="3"/>
        <v>0</v>
      </c>
    </row>
    <row r="30" spans="1:18" ht="15.75" thickBot="1" x14ac:dyDescent="0.3">
      <c r="A30" s="30"/>
      <c r="B30" s="31"/>
      <c r="C30" s="32"/>
      <c r="D30" s="32">
        <v>14</v>
      </c>
      <c r="E30" s="33" t="str">
        <f>IF(C30&lt;&gt;"",VLOOKUP(C30,$J$6:$K$47,2,FALSE),"")</f>
        <v/>
      </c>
      <c r="F30" s="33" t="str">
        <f>IF(D30&lt;&gt;"",VLOOKUP(D30,$J$6:$K$47,2,FALSE),"")</f>
        <v>Mercaderías</v>
      </c>
      <c r="G30" s="32"/>
      <c r="H30" s="34">
        <f>+G29</f>
        <v>5190000</v>
      </c>
      <c r="J30" s="38">
        <v>52</v>
      </c>
      <c r="K30" s="38"/>
      <c r="M30" s="56" t="s">
        <v>28</v>
      </c>
      <c r="N30" s="57"/>
      <c r="O30" s="47">
        <f>SUM(O6:O29)</f>
        <v>164513500</v>
      </c>
      <c r="P30" s="47">
        <f>SUM(P6:P29)</f>
        <v>164513500</v>
      </c>
      <c r="Q30" s="47">
        <f>SUM(Q6:Q29)</f>
        <v>70374750</v>
      </c>
      <c r="R30" s="48">
        <f>SUM(R6:R29)</f>
        <v>70374750</v>
      </c>
    </row>
    <row r="31" spans="1:18" x14ac:dyDescent="0.25">
      <c r="A31" s="44"/>
      <c r="B31" s="45"/>
      <c r="C31" s="41"/>
      <c r="D31" s="41"/>
      <c r="E31" s="46" t="s">
        <v>61</v>
      </c>
      <c r="F31" s="46"/>
      <c r="G31" s="41"/>
      <c r="H31" s="43"/>
      <c r="J31" s="38">
        <v>53</v>
      </c>
      <c r="K31" s="38"/>
    </row>
    <row r="32" spans="1:18" x14ac:dyDescent="0.25">
      <c r="A32" s="30">
        <v>8</v>
      </c>
      <c r="B32" s="31">
        <v>43593</v>
      </c>
      <c r="C32" s="32">
        <v>11</v>
      </c>
      <c r="D32" s="32"/>
      <c r="E32" s="33" t="str">
        <f t="shared" ref="E32:F34" si="8">IF(C32&lt;&gt;"",VLOOKUP(C32,$J$6:$K$47,2,FALSE),"")</f>
        <v>Caja</v>
      </c>
      <c r="F32" s="33" t="str">
        <f t="shared" si="8"/>
        <v/>
      </c>
      <c r="G32" s="32">
        <f>+G25</f>
        <v>10412500</v>
      </c>
      <c r="H32" s="34"/>
      <c r="J32" s="38">
        <v>54</v>
      </c>
      <c r="K32" s="38"/>
    </row>
    <row r="33" spans="1:11" x14ac:dyDescent="0.25">
      <c r="A33" s="30"/>
      <c r="B33" s="31"/>
      <c r="C33" s="32"/>
      <c r="D33" s="32">
        <v>13</v>
      </c>
      <c r="E33" s="33" t="str">
        <f t="shared" si="8"/>
        <v/>
      </c>
      <c r="F33" s="33" t="str">
        <f t="shared" si="8"/>
        <v>Clientes</v>
      </c>
      <c r="G33" s="32"/>
      <c r="H33" s="34">
        <f>+G32</f>
        <v>10412500</v>
      </c>
      <c r="J33" s="38">
        <v>55</v>
      </c>
      <c r="K33" s="38"/>
    </row>
    <row r="34" spans="1:11" x14ac:dyDescent="0.25">
      <c r="A34" s="30"/>
      <c r="B34" s="31"/>
      <c r="C34" s="32"/>
      <c r="D34" s="32"/>
      <c r="E34" s="33" t="str">
        <f t="shared" si="8"/>
        <v/>
      </c>
      <c r="F34" s="33" t="str">
        <f t="shared" si="8"/>
        <v/>
      </c>
      <c r="G34" s="32"/>
      <c r="H34" s="34"/>
      <c r="J34" s="38">
        <v>56</v>
      </c>
      <c r="K34" s="38"/>
    </row>
    <row r="35" spans="1:11" ht="15.75" thickBot="1" x14ac:dyDescent="0.3">
      <c r="A35" s="44"/>
      <c r="B35" s="45"/>
      <c r="C35" s="41"/>
      <c r="D35" s="41"/>
      <c r="E35" s="42" t="s">
        <v>61</v>
      </c>
      <c r="F35" s="42"/>
      <c r="G35" s="41"/>
      <c r="H35" s="43"/>
      <c r="J35" s="49"/>
      <c r="K35" s="49"/>
    </row>
    <row r="36" spans="1:11" x14ac:dyDescent="0.25">
      <c r="A36" s="30">
        <v>9</v>
      </c>
      <c r="B36" s="31">
        <v>43594</v>
      </c>
      <c r="C36" s="32">
        <v>12</v>
      </c>
      <c r="D36" s="32"/>
      <c r="E36" s="33" t="str">
        <f>IF(C36&lt;&gt;"",VLOOKUP(C36,$J$6:$K$47,2,FALSE),"")</f>
        <v>Banco</v>
      </c>
      <c r="F36" s="33" t="str">
        <f>IF(D36&lt;&gt;"",VLOOKUP(D36,$J$6:$K$47,2,FALSE),"")</f>
        <v/>
      </c>
      <c r="G36" s="32">
        <f>+G32</f>
        <v>10412500</v>
      </c>
      <c r="H36" s="34"/>
    </row>
    <row r="37" spans="1:11" x14ac:dyDescent="0.25">
      <c r="A37" s="30"/>
      <c r="B37" s="31"/>
      <c r="C37" s="32"/>
      <c r="D37" s="32">
        <v>11</v>
      </c>
      <c r="E37" s="33" t="str">
        <f>IF(C37&lt;&gt;"",VLOOKUP(C37,$J$6:$K$47,2,FALSE),"")</f>
        <v/>
      </c>
      <c r="F37" s="33" t="str">
        <f>IF(D37&lt;&gt;"",VLOOKUP(D37,$J$6:$K$47,2,FALSE),"")</f>
        <v>Caja</v>
      </c>
      <c r="G37" s="32"/>
      <c r="H37" s="34">
        <f>+G36</f>
        <v>10412500</v>
      </c>
    </row>
    <row r="38" spans="1:11" x14ac:dyDescent="0.25">
      <c r="A38" s="44"/>
      <c r="B38" s="45"/>
      <c r="C38" s="41"/>
      <c r="D38" s="41"/>
      <c r="E38" s="42" t="s">
        <v>61</v>
      </c>
      <c r="F38" s="42"/>
      <c r="G38" s="41"/>
      <c r="H38" s="43"/>
    </row>
    <row r="39" spans="1:11" x14ac:dyDescent="0.25">
      <c r="A39" s="30">
        <v>10</v>
      </c>
      <c r="B39" s="31">
        <v>43595</v>
      </c>
      <c r="C39" s="32">
        <v>14</v>
      </c>
      <c r="D39" s="32"/>
      <c r="E39" s="33" t="str">
        <f t="shared" ref="E39:F41" si="9">IF(C39&lt;&gt;"",VLOOKUP(C39,$J$6:$K$47,2,FALSE),"")</f>
        <v>Mercaderías</v>
      </c>
      <c r="F39" s="33" t="str">
        <f t="shared" si="9"/>
        <v/>
      </c>
      <c r="G39" s="32">
        <f>+'Libro Compra'!I9</f>
        <v>13200000</v>
      </c>
      <c r="H39" s="34"/>
    </row>
    <row r="40" spans="1:11" x14ac:dyDescent="0.25">
      <c r="A40" s="30"/>
      <c r="B40" s="31"/>
      <c r="C40" s="32">
        <v>15</v>
      </c>
      <c r="D40" s="32"/>
      <c r="E40" s="33" t="str">
        <f t="shared" si="9"/>
        <v>IVA CF</v>
      </c>
      <c r="F40" s="33" t="str">
        <f t="shared" si="9"/>
        <v/>
      </c>
      <c r="G40" s="32">
        <f>+'Libro Compra'!J9</f>
        <v>2508000</v>
      </c>
      <c r="H40" s="34"/>
    </row>
    <row r="41" spans="1:11" x14ac:dyDescent="0.25">
      <c r="A41" s="30"/>
      <c r="B41" s="31"/>
      <c r="C41" s="32"/>
      <c r="D41" s="32">
        <v>21</v>
      </c>
      <c r="E41" s="33" t="str">
        <f t="shared" si="9"/>
        <v/>
      </c>
      <c r="F41" s="33" t="str">
        <f t="shared" si="9"/>
        <v>Proveedores</v>
      </c>
      <c r="G41" s="32"/>
      <c r="H41" s="34">
        <f>+'Libro Compra'!K9</f>
        <v>15708000</v>
      </c>
    </row>
    <row r="42" spans="1:11" x14ac:dyDescent="0.25">
      <c r="A42" s="44"/>
      <c r="B42" s="45"/>
      <c r="C42" s="41"/>
      <c r="D42" s="41"/>
      <c r="E42" s="42" t="s">
        <v>61</v>
      </c>
      <c r="F42" s="42"/>
      <c r="G42" s="41"/>
      <c r="H42" s="43"/>
    </row>
    <row r="43" spans="1:11" x14ac:dyDescent="0.25">
      <c r="A43" s="30">
        <v>11</v>
      </c>
      <c r="B43" s="31">
        <v>43600</v>
      </c>
      <c r="C43" s="32">
        <v>41</v>
      </c>
      <c r="D43" s="32"/>
      <c r="E43" s="33" t="str">
        <f>IF(C43&lt;&gt;"",VLOOKUP(C43,$J$6:$K$47,2,FALSE),"")</f>
        <v>Ingresos por ventas</v>
      </c>
      <c r="F43" s="33" t="str">
        <f>IF(D43&lt;&gt;"",VLOOKUP(D43,$J$6:$K$47,2,FALSE),"")</f>
        <v/>
      </c>
      <c r="G43" s="32">
        <f>-'Libro Venta'!H10</f>
        <v>525000</v>
      </c>
      <c r="H43" s="34"/>
    </row>
    <row r="44" spans="1:11" x14ac:dyDescent="0.25">
      <c r="A44" s="30"/>
      <c r="B44" s="31"/>
      <c r="C44" s="32">
        <v>22</v>
      </c>
      <c r="D44" s="32"/>
      <c r="E44" s="33" t="str">
        <f>IF(C44&lt;&gt;"",VLOOKUP(C44,$J$6:$K$47,2,FALSE),"")</f>
        <v>IVA DF</v>
      </c>
      <c r="F44" s="33" t="str">
        <f>IF(D44&lt;&gt;"",VLOOKUP(D44,$J$6:$K$47,2,FALSE),"")</f>
        <v/>
      </c>
      <c r="G44" s="32">
        <f>-'Libro Venta'!I10</f>
        <v>99750</v>
      </c>
      <c r="H44" s="34"/>
    </row>
    <row r="45" spans="1:11" x14ac:dyDescent="0.25">
      <c r="A45" s="30"/>
      <c r="B45" s="31"/>
      <c r="C45" s="32"/>
      <c r="D45" s="32">
        <v>13</v>
      </c>
      <c r="E45" s="33" t="str">
        <f>IF(C45&lt;&gt;"",VLOOKUP(C45,$J$6:$K$47,2,FALSE),"")</f>
        <v/>
      </c>
      <c r="F45" s="33" t="str">
        <f>IF(D45&lt;&gt;"",VLOOKUP(D45,$J$6:$K$47,2,FALSE),"")</f>
        <v>Clientes</v>
      </c>
      <c r="G45" s="32"/>
      <c r="H45" s="34">
        <f>-'Libro Venta'!J10</f>
        <v>624750</v>
      </c>
    </row>
    <row r="46" spans="1:11" x14ac:dyDescent="0.25">
      <c r="A46" s="44"/>
      <c r="B46" s="45"/>
      <c r="C46" s="41"/>
      <c r="D46" s="41"/>
      <c r="E46" s="42"/>
      <c r="F46" s="42"/>
      <c r="G46" s="41"/>
      <c r="H46" s="43"/>
    </row>
    <row r="47" spans="1:11" x14ac:dyDescent="0.25">
      <c r="A47" s="30">
        <v>12</v>
      </c>
      <c r="B47" s="31">
        <v>43600</v>
      </c>
      <c r="C47" s="32">
        <v>14</v>
      </c>
      <c r="D47" s="32"/>
      <c r="E47" s="33" t="str">
        <f t="shared" ref="E47:F62" si="10">IF(C47&lt;&gt;"",VLOOKUP(C47,$J$6:$K$47,2,FALSE),"")</f>
        <v>Mercaderías</v>
      </c>
      <c r="F47" s="33" t="str">
        <f t="shared" si="10"/>
        <v/>
      </c>
      <c r="G47" s="32">
        <f>+Tarjetas!J11</f>
        <v>307500</v>
      </c>
      <c r="H47" s="34"/>
    </row>
    <row r="48" spans="1:11" x14ac:dyDescent="0.25">
      <c r="A48" s="30"/>
      <c r="B48" s="31"/>
      <c r="C48" s="32"/>
      <c r="D48" s="32">
        <v>51</v>
      </c>
      <c r="E48" s="33" t="str">
        <f t="shared" si="10"/>
        <v/>
      </c>
      <c r="F48" s="33" t="str">
        <f t="shared" si="10"/>
        <v>Costo de ventas</v>
      </c>
      <c r="G48" s="32"/>
      <c r="H48" s="34">
        <f>+G47</f>
        <v>307500</v>
      </c>
    </row>
    <row r="49" spans="1:8" x14ac:dyDescent="0.25">
      <c r="A49" s="30"/>
      <c r="B49" s="31"/>
      <c r="C49" s="32"/>
      <c r="D49" s="32"/>
      <c r="E49" s="33" t="str">
        <f t="shared" si="10"/>
        <v/>
      </c>
      <c r="F49" s="33" t="str">
        <f t="shared" si="10"/>
        <v/>
      </c>
      <c r="G49" s="32"/>
      <c r="H49" s="34"/>
    </row>
    <row r="50" spans="1:8" x14ac:dyDescent="0.25">
      <c r="A50" s="44"/>
      <c r="B50" s="45"/>
      <c r="C50" s="41"/>
      <c r="D50" s="41"/>
      <c r="E50" s="42" t="s">
        <v>61</v>
      </c>
      <c r="F50" s="42" t="str">
        <f t="shared" si="10"/>
        <v/>
      </c>
      <c r="G50" s="41"/>
      <c r="H50" s="43"/>
    </row>
    <row r="51" spans="1:8" x14ac:dyDescent="0.25">
      <c r="A51" s="30">
        <v>13</v>
      </c>
      <c r="B51" s="31">
        <v>43600</v>
      </c>
      <c r="C51" s="32">
        <v>13</v>
      </c>
      <c r="D51" s="32"/>
      <c r="E51" s="33" t="str">
        <f>IF(C51&lt;&gt;"",VLOOKUP(C51,$J$6:$K$47,2,FALSE),"")</f>
        <v>Clientes</v>
      </c>
      <c r="F51" s="33" t="str">
        <f t="shared" si="10"/>
        <v/>
      </c>
      <c r="G51" s="32">
        <f>+H45</f>
        <v>624750</v>
      </c>
      <c r="H51" s="34"/>
    </row>
    <row r="52" spans="1:8" x14ac:dyDescent="0.25">
      <c r="A52" s="30"/>
      <c r="B52" s="31"/>
      <c r="C52" s="32"/>
      <c r="D52" s="32">
        <v>12</v>
      </c>
      <c r="E52" s="33" t="str">
        <f>IF(C52&lt;&gt;"",VLOOKUP(C52,$J$6:$K$47,2,FALSE),"")</f>
        <v/>
      </c>
      <c r="F52" s="33" t="str">
        <f t="shared" si="10"/>
        <v>Banco</v>
      </c>
      <c r="G52" s="32"/>
      <c r="H52" s="34">
        <f>+G51</f>
        <v>624750</v>
      </c>
    </row>
    <row r="53" spans="1:8" x14ac:dyDescent="0.25">
      <c r="A53" s="44"/>
      <c r="B53" s="45"/>
      <c r="C53" s="41"/>
      <c r="D53" s="41"/>
      <c r="E53" s="42" t="s">
        <v>61</v>
      </c>
      <c r="F53" s="42"/>
      <c r="G53" s="41"/>
      <c r="H53" s="43"/>
    </row>
    <row r="54" spans="1:8" x14ac:dyDescent="0.25">
      <c r="A54" s="30">
        <v>14</v>
      </c>
      <c r="B54" s="31"/>
      <c r="C54" s="32"/>
      <c r="D54" s="32"/>
      <c r="E54" s="33" t="str">
        <f>IF(C54&lt;&gt;"",VLOOKUP(C54,$J$6:$K$47,2,FALSE),"")</f>
        <v/>
      </c>
      <c r="F54" s="33" t="str">
        <f t="shared" si="10"/>
        <v/>
      </c>
      <c r="G54" s="32"/>
      <c r="H54" s="34"/>
    </row>
    <row r="55" spans="1:8" x14ac:dyDescent="0.25">
      <c r="A55" s="30"/>
      <c r="B55" s="31"/>
      <c r="C55" s="32"/>
      <c r="D55" s="32"/>
      <c r="E55" s="33" t="str">
        <f>IF(C55&lt;&gt;"",VLOOKUP(C55,$J$6:$K$47,2,FALSE),"")</f>
        <v/>
      </c>
      <c r="F55" s="33" t="str">
        <f t="shared" si="10"/>
        <v/>
      </c>
      <c r="G55" s="32"/>
      <c r="H55" s="34"/>
    </row>
    <row r="56" spans="1:8" x14ac:dyDescent="0.25">
      <c r="A56" s="30"/>
      <c r="B56" s="31"/>
      <c r="C56" s="32"/>
      <c r="D56" s="32"/>
      <c r="E56" s="33" t="str">
        <f>IF(C56&lt;&gt;"",VLOOKUP(C56,$J$6:$K$47,2,FALSE),"")</f>
        <v/>
      </c>
      <c r="F56" s="33" t="str">
        <f t="shared" si="10"/>
        <v/>
      </c>
      <c r="G56" s="32"/>
      <c r="H56" s="34"/>
    </row>
    <row r="57" spans="1:8" x14ac:dyDescent="0.25">
      <c r="A57" s="30"/>
      <c r="B57" s="31"/>
      <c r="C57" s="32"/>
      <c r="D57" s="32"/>
      <c r="E57" s="33" t="str">
        <f>IF(C57&lt;&gt;"",VLOOKUP(C57,$J$6:$K$47,2,FALSE),"")</f>
        <v/>
      </c>
      <c r="F57" s="33" t="str">
        <f t="shared" si="10"/>
        <v/>
      </c>
      <c r="G57" s="32"/>
      <c r="H57" s="34"/>
    </row>
    <row r="58" spans="1:8" x14ac:dyDescent="0.25">
      <c r="A58" s="44"/>
      <c r="B58" s="45"/>
      <c r="C58" s="41"/>
      <c r="D58" s="41"/>
      <c r="E58" s="42"/>
      <c r="F58" s="42" t="str">
        <f t="shared" si="10"/>
        <v/>
      </c>
      <c r="G58" s="41"/>
      <c r="H58" s="43"/>
    </row>
    <row r="59" spans="1:8" x14ac:dyDescent="0.25">
      <c r="A59" s="30">
        <v>15</v>
      </c>
      <c r="B59" s="31"/>
      <c r="C59" s="32"/>
      <c r="D59" s="32"/>
      <c r="E59" s="33" t="str">
        <f>IF(C59&lt;&gt;"",VLOOKUP(C59,$J$6:$K$47,2,FALSE),"")</f>
        <v/>
      </c>
      <c r="F59" s="33" t="str">
        <f t="shared" si="10"/>
        <v/>
      </c>
      <c r="G59" s="32"/>
      <c r="H59" s="34"/>
    </row>
    <row r="60" spans="1:8" x14ac:dyDescent="0.25">
      <c r="A60" s="30"/>
      <c r="B60" s="31"/>
      <c r="C60" s="32"/>
      <c r="D60" s="32"/>
      <c r="E60" s="33" t="str">
        <f>IF(C60&lt;&gt;"",VLOOKUP(C60,$J$6:$K$47,2,FALSE),"")</f>
        <v/>
      </c>
      <c r="F60" s="33" t="str">
        <f t="shared" si="10"/>
        <v/>
      </c>
      <c r="G60" s="32"/>
      <c r="H60" s="34"/>
    </row>
    <row r="61" spans="1:8" x14ac:dyDescent="0.25">
      <c r="A61" s="44"/>
      <c r="B61" s="45"/>
      <c r="C61" s="41"/>
      <c r="D61" s="41"/>
      <c r="E61" s="42"/>
      <c r="F61" s="42"/>
      <c r="G61" s="41"/>
      <c r="H61" s="43"/>
    </row>
    <row r="62" spans="1:8" x14ac:dyDescent="0.25">
      <c r="A62" s="30">
        <v>16</v>
      </c>
      <c r="B62" s="31"/>
      <c r="C62" s="32"/>
      <c r="D62" s="32"/>
      <c r="E62" s="33" t="str">
        <f>IF(C62&lt;&gt;"",VLOOKUP(C62,$J$6:$K$47,2,FALSE),"")</f>
        <v/>
      </c>
      <c r="F62" s="33" t="str">
        <f t="shared" si="10"/>
        <v/>
      </c>
      <c r="G62" s="32"/>
      <c r="H62" s="34"/>
    </row>
    <row r="63" spans="1:8" x14ac:dyDescent="0.25">
      <c r="A63" s="30"/>
      <c r="B63" s="31"/>
      <c r="C63" s="32"/>
      <c r="D63" s="32"/>
      <c r="E63" s="33" t="str">
        <f>IF(C63&lt;&gt;"",VLOOKUP(C63,$J$6:$K$47,2,FALSE),"")</f>
        <v/>
      </c>
      <c r="F63" s="33" t="str">
        <f t="shared" ref="F63:F81" si="11">IF(D63&lt;&gt;"",VLOOKUP(D63,$J$6:$K$47,2,FALSE),"")</f>
        <v/>
      </c>
      <c r="G63" s="32"/>
      <c r="H63" s="34"/>
    </row>
    <row r="64" spans="1:8" x14ac:dyDescent="0.25">
      <c r="A64" s="30"/>
      <c r="B64" s="31"/>
      <c r="C64" s="32"/>
      <c r="D64" s="32"/>
      <c r="E64" s="33" t="str">
        <f>IF(C64&lt;&gt;"",VLOOKUP(C64,$J$6:$K$47,2,FALSE),"")</f>
        <v/>
      </c>
      <c r="F64" s="33" t="str">
        <f t="shared" si="11"/>
        <v/>
      </c>
      <c r="G64" s="32"/>
      <c r="H64" s="34"/>
    </row>
    <row r="65" spans="1:10" x14ac:dyDescent="0.25">
      <c r="A65" s="44"/>
      <c r="B65" s="45"/>
      <c r="C65" s="41"/>
      <c r="D65" s="41"/>
      <c r="E65" s="42"/>
      <c r="F65" s="42"/>
      <c r="G65" s="41"/>
      <c r="H65" s="43"/>
    </row>
    <row r="66" spans="1:10" x14ac:dyDescent="0.25">
      <c r="A66" s="30">
        <v>17</v>
      </c>
      <c r="B66" s="31"/>
      <c r="C66" s="32"/>
      <c r="D66" s="32"/>
      <c r="E66" s="33" t="str">
        <f>IF(C66&lt;&gt;"",VLOOKUP(C66,$J$6:$K$47,2,FALSE),"")</f>
        <v/>
      </c>
      <c r="F66" s="33" t="str">
        <f t="shared" si="11"/>
        <v/>
      </c>
      <c r="G66" s="32"/>
      <c r="H66" s="34"/>
    </row>
    <row r="67" spans="1:10" x14ac:dyDescent="0.25">
      <c r="A67" s="30"/>
      <c r="B67" s="31"/>
      <c r="C67" s="32"/>
      <c r="D67" s="32"/>
      <c r="E67" s="33" t="str">
        <f>IF(C67&lt;&gt;"",VLOOKUP(C67,$J$6:$K$47,2,FALSE),"")</f>
        <v/>
      </c>
      <c r="F67" s="33" t="str">
        <f t="shared" si="11"/>
        <v/>
      </c>
      <c r="G67" s="32"/>
      <c r="H67" s="34"/>
    </row>
    <row r="68" spans="1:10" x14ac:dyDescent="0.25">
      <c r="A68" s="44"/>
      <c r="B68" s="45"/>
      <c r="C68" s="41"/>
      <c r="D68" s="41"/>
      <c r="E68" s="42"/>
      <c r="F68" s="42" t="str">
        <f t="shared" si="11"/>
        <v/>
      </c>
      <c r="G68" s="41"/>
      <c r="H68" s="43"/>
    </row>
    <row r="69" spans="1:10" x14ac:dyDescent="0.25">
      <c r="A69" s="30">
        <v>18</v>
      </c>
      <c r="B69" s="31"/>
      <c r="C69" s="32"/>
      <c r="D69" s="32"/>
      <c r="E69" s="33" t="str">
        <f>IF(C69&lt;&gt;"",VLOOKUP(C69,$J$6:$K$47,2,FALSE),"")</f>
        <v/>
      </c>
      <c r="F69" s="33" t="str">
        <f t="shared" si="11"/>
        <v/>
      </c>
      <c r="G69" s="32"/>
      <c r="H69" s="34"/>
    </row>
    <row r="70" spans="1:10" x14ac:dyDescent="0.25">
      <c r="A70" s="30"/>
      <c r="B70" s="31"/>
      <c r="C70" s="32"/>
      <c r="D70" s="32"/>
      <c r="E70" s="33" t="str">
        <f>IF(C70&lt;&gt;"",VLOOKUP(C70,$J$6:$K$47,2,FALSE),"")</f>
        <v/>
      </c>
      <c r="F70" s="33" t="str">
        <f t="shared" si="11"/>
        <v/>
      </c>
      <c r="G70" s="32"/>
      <c r="H70" s="34"/>
    </row>
    <row r="71" spans="1:10" x14ac:dyDescent="0.25">
      <c r="A71" s="44"/>
      <c r="B71" s="45"/>
      <c r="C71" s="41"/>
      <c r="D71" s="41"/>
      <c r="E71" s="42"/>
      <c r="F71" s="42"/>
      <c r="G71" s="41"/>
      <c r="H71" s="43"/>
    </row>
    <row r="72" spans="1:10" x14ac:dyDescent="0.25">
      <c r="A72" s="30">
        <v>19</v>
      </c>
      <c r="B72" s="31"/>
      <c r="C72" s="32"/>
      <c r="D72" s="32"/>
      <c r="E72" s="33" t="str">
        <f>IF(C72&lt;&gt;"",VLOOKUP(C72,$J$6:$K$47,2,FALSE),"")</f>
        <v/>
      </c>
      <c r="F72" s="33" t="str">
        <f t="shared" si="11"/>
        <v/>
      </c>
      <c r="G72" s="32"/>
      <c r="H72" s="34"/>
    </row>
    <row r="73" spans="1:10" x14ac:dyDescent="0.25">
      <c r="A73" s="30"/>
      <c r="B73" s="31"/>
      <c r="C73" s="32"/>
      <c r="D73" s="32"/>
      <c r="E73" s="33" t="str">
        <f>IF(C73&lt;&gt;"",VLOOKUP(C73,$J$6:$K$47,2,FALSE),"")</f>
        <v/>
      </c>
      <c r="F73" s="33" t="str">
        <f t="shared" si="11"/>
        <v/>
      </c>
      <c r="G73" s="32"/>
      <c r="H73" s="34"/>
    </row>
    <row r="74" spans="1:10" x14ac:dyDescent="0.25">
      <c r="A74" s="30"/>
      <c r="B74" s="31"/>
      <c r="C74" s="32"/>
      <c r="D74" s="32"/>
      <c r="E74" s="33" t="str">
        <f>IF(C74&lt;&gt;"",VLOOKUP(C74,$J$6:$K$47,2,FALSE),"")</f>
        <v/>
      </c>
      <c r="F74" s="33" t="str">
        <f t="shared" si="11"/>
        <v/>
      </c>
      <c r="G74" s="32"/>
      <c r="H74" s="34"/>
    </row>
    <row r="75" spans="1:10" x14ac:dyDescent="0.25">
      <c r="A75" s="44"/>
      <c r="B75" s="45"/>
      <c r="C75" s="41"/>
      <c r="D75" s="41"/>
      <c r="E75" s="42"/>
      <c r="F75" s="42" t="str">
        <f t="shared" si="11"/>
        <v/>
      </c>
      <c r="G75" s="41"/>
      <c r="H75" s="43"/>
    </row>
    <row r="76" spans="1:10" x14ac:dyDescent="0.25">
      <c r="A76" s="30">
        <v>20</v>
      </c>
      <c r="B76" s="31"/>
      <c r="C76" s="32"/>
      <c r="D76" s="32"/>
      <c r="E76" s="33" t="str">
        <f>IF(C76&lt;&gt;"",VLOOKUP(C76,$J$6:$K$47,2,FALSE),"")</f>
        <v/>
      </c>
      <c r="F76" s="33" t="str">
        <f t="shared" si="11"/>
        <v/>
      </c>
      <c r="G76" s="32"/>
      <c r="H76" s="34"/>
    </row>
    <row r="77" spans="1:10" x14ac:dyDescent="0.25">
      <c r="A77" s="30"/>
      <c r="B77" s="31"/>
      <c r="C77" s="32"/>
      <c r="D77" s="32"/>
      <c r="E77" s="33" t="str">
        <f>IF(C77&lt;&gt;"",VLOOKUP(C77,$J$6:$K$47,2,FALSE),"")</f>
        <v/>
      </c>
      <c r="F77" s="33" t="str">
        <f t="shared" si="11"/>
        <v/>
      </c>
      <c r="G77" s="32"/>
      <c r="H77" s="34"/>
    </row>
    <row r="78" spans="1:10" x14ac:dyDescent="0.25">
      <c r="A78" s="30"/>
      <c r="B78" s="31"/>
      <c r="C78" s="32"/>
      <c r="D78" s="32"/>
      <c r="E78" s="33"/>
      <c r="F78" s="33" t="str">
        <f t="shared" si="11"/>
        <v/>
      </c>
      <c r="G78" s="32"/>
      <c r="H78" s="34"/>
      <c r="J78" s="25"/>
    </row>
    <row r="79" spans="1:10" x14ac:dyDescent="0.25">
      <c r="A79" s="44"/>
      <c r="B79" s="45"/>
      <c r="C79" s="41"/>
      <c r="D79" s="41"/>
      <c r="E79" s="42"/>
      <c r="F79" s="42"/>
      <c r="G79" s="41"/>
      <c r="H79" s="43"/>
    </row>
    <row r="80" spans="1:10" x14ac:dyDescent="0.25">
      <c r="A80" s="30">
        <v>21</v>
      </c>
      <c r="B80" s="31"/>
      <c r="C80" s="32"/>
      <c r="D80" s="32"/>
      <c r="E80" s="33" t="str">
        <f>IF(C80&lt;&gt;"",VLOOKUP(C80,$J$6:$K$47,2,FALSE),"")</f>
        <v/>
      </c>
      <c r="F80" s="33" t="str">
        <f t="shared" si="11"/>
        <v/>
      </c>
      <c r="G80" s="32"/>
      <c r="H80" s="34"/>
    </row>
    <row r="81" spans="1:10" x14ac:dyDescent="0.25">
      <c r="A81" s="30"/>
      <c r="B81" s="31"/>
      <c r="C81" s="32"/>
      <c r="D81" s="32"/>
      <c r="E81" s="33" t="str">
        <f>IF(C81&lt;&gt;"",VLOOKUP(C81,$J$6:$K$47,2,FALSE),"")</f>
        <v/>
      </c>
      <c r="F81" s="33" t="str">
        <f t="shared" si="11"/>
        <v/>
      </c>
      <c r="G81" s="32"/>
      <c r="H81" s="34"/>
      <c r="J81" s="25"/>
    </row>
    <row r="82" spans="1:10" x14ac:dyDescent="0.25">
      <c r="A82" s="30"/>
      <c r="B82" s="31"/>
      <c r="C82" s="32"/>
      <c r="D82" s="32"/>
      <c r="E82" s="33"/>
      <c r="F82" s="33"/>
      <c r="G82" s="32"/>
      <c r="H82" s="34"/>
    </row>
    <row r="83" spans="1:10" x14ac:dyDescent="0.25">
      <c r="A83" s="44"/>
      <c r="B83" s="45"/>
      <c r="C83" s="41"/>
      <c r="D83" s="41"/>
      <c r="E83" s="42"/>
      <c r="F83" s="42"/>
      <c r="G83" s="41"/>
      <c r="H83" s="43"/>
    </row>
    <row r="84" spans="1:10" x14ac:dyDescent="0.25">
      <c r="A84" s="30"/>
      <c r="B84" s="31"/>
      <c r="C84" s="32"/>
      <c r="D84" s="32"/>
      <c r="E84" s="33" t="str">
        <f>IF(C84&lt;&gt;"",VLOOKUP(C84,$J$6:$K$47,2,FALSE),"")</f>
        <v/>
      </c>
      <c r="F84" s="33" t="str">
        <f>IF(D84&lt;&gt;"",VLOOKUP(D84,$J$6:$K$47,2,FALSE),"")</f>
        <v/>
      </c>
      <c r="G84" s="32"/>
      <c r="H84" s="34"/>
    </row>
    <row r="85" spans="1:10" x14ac:dyDescent="0.25">
      <c r="A85" s="30"/>
      <c r="B85" s="31"/>
      <c r="C85" s="32"/>
      <c r="D85" s="32"/>
      <c r="E85" s="33" t="str">
        <f>IF(C85&lt;&gt;"",VLOOKUP(C85,$J$6:$K$47,2,FALSE),"")</f>
        <v/>
      </c>
      <c r="F85" s="33" t="str">
        <f>IF(D85&lt;&gt;"",VLOOKUP(D85,$J$6:$K$47,2,FALSE),"")</f>
        <v/>
      </c>
      <c r="G85" s="32"/>
      <c r="H85" s="34"/>
    </row>
    <row r="86" spans="1:10" x14ac:dyDescent="0.25">
      <c r="A86" s="30"/>
      <c r="B86" s="31"/>
      <c r="C86" s="32"/>
      <c r="D86" s="32"/>
      <c r="E86" s="33"/>
      <c r="F86" s="33"/>
      <c r="G86" s="32"/>
      <c r="H86" s="34"/>
    </row>
    <row r="87" spans="1:10" x14ac:dyDescent="0.25">
      <c r="A87" s="44"/>
      <c r="B87" s="45"/>
      <c r="C87" s="41"/>
      <c r="D87" s="41"/>
      <c r="E87" s="42"/>
      <c r="F87" s="42"/>
      <c r="G87" s="41"/>
      <c r="H87" s="43"/>
    </row>
    <row r="88" spans="1:10" x14ac:dyDescent="0.25">
      <c r="A88" s="30"/>
      <c r="B88" s="31"/>
      <c r="C88" s="32"/>
      <c r="D88" s="32"/>
      <c r="E88" s="33" t="str">
        <f>IF(C88&lt;&gt;"",VLOOKUP(C88,$J$6:$K$47,2,FALSE),"")</f>
        <v/>
      </c>
      <c r="F88" s="33" t="str">
        <f>IF(D88&lt;&gt;"",VLOOKUP(D88,$J$6:$K$47,2,FALSE),"")</f>
        <v/>
      </c>
      <c r="G88" s="32"/>
      <c r="H88" s="34"/>
    </row>
    <row r="89" spans="1:10" x14ac:dyDescent="0.25">
      <c r="A89" s="30"/>
      <c r="B89" s="31"/>
      <c r="C89" s="32"/>
      <c r="D89" s="32"/>
      <c r="E89" s="33" t="str">
        <f>IF(C89&lt;&gt;"",VLOOKUP(C89,$J$6:$K$47,2,FALSE),"")</f>
        <v/>
      </c>
      <c r="F89" s="33" t="str">
        <f>IF(D89&lt;&gt;"",VLOOKUP(D89,$J$6:$K$47,2,FALSE),"")</f>
        <v/>
      </c>
      <c r="G89" s="32"/>
      <c r="H89" s="34"/>
    </row>
    <row r="90" spans="1:10" x14ac:dyDescent="0.25">
      <c r="A90" s="30"/>
      <c r="B90" s="31"/>
      <c r="C90" s="32"/>
      <c r="D90" s="32"/>
      <c r="E90" s="33"/>
      <c r="F90" s="33" t="str">
        <f>IF(D90&lt;&gt;"",VLOOKUP(D90,$J$6:$K$47,2,FALSE),"")</f>
        <v/>
      </c>
      <c r="G90" s="32"/>
      <c r="H90" s="34"/>
    </row>
    <row r="91" spans="1:10" x14ac:dyDescent="0.25">
      <c r="A91" s="44"/>
      <c r="B91" s="45"/>
      <c r="C91" s="41"/>
      <c r="D91" s="41"/>
      <c r="E91" s="42"/>
      <c r="F91" s="42"/>
      <c r="G91" s="41"/>
      <c r="H91" s="43"/>
    </row>
  </sheetData>
  <mergeCells count="19">
    <mergeCell ref="A4:A5"/>
    <mergeCell ref="B4:B5"/>
    <mergeCell ref="C4:D4"/>
    <mergeCell ref="E4:F5"/>
    <mergeCell ref="G4:G5"/>
    <mergeCell ref="J1:L1"/>
    <mergeCell ref="E2:F2"/>
    <mergeCell ref="G2:H2"/>
    <mergeCell ref="J3:K3"/>
    <mergeCell ref="M3:R3"/>
    <mergeCell ref="P4:P5"/>
    <mergeCell ref="Q4:R4"/>
    <mergeCell ref="M30:N30"/>
    <mergeCell ref="H4:H5"/>
    <mergeCell ref="J4:J5"/>
    <mergeCell ref="K4:K5"/>
    <mergeCell ref="M4:M5"/>
    <mergeCell ref="N4:N5"/>
    <mergeCell ref="O4:O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Instrucciones</vt:lpstr>
      <vt:lpstr>Tarjetas</vt:lpstr>
      <vt:lpstr>Libro Compra</vt:lpstr>
      <vt:lpstr>Libro Venta</vt:lpstr>
      <vt:lpstr>Diario y Comprobación Saldos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2024-05-27T20:41:09Z</dcterms:modified>
</cp:coreProperties>
</file>