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4400" windowHeight="12180"/>
  </bookViews>
  <sheets>
    <sheet name="Caso" sheetId="2" r:id="rId1"/>
    <sheet name="Desarrollo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4" i="1"/>
  <c r="B13" i="1"/>
  <c r="H41" i="1"/>
  <c r="H37" i="1"/>
  <c r="I76" i="1"/>
  <c r="I88" i="1" s="1"/>
  <c r="F122" i="1"/>
  <c r="E121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B121" i="1"/>
  <c r="H36" i="1"/>
  <c r="H35" i="1"/>
  <c r="H34" i="1"/>
  <c r="H33" i="1"/>
  <c r="F118" i="1"/>
  <c r="E117" i="1"/>
  <c r="F113" i="1"/>
  <c r="E112" i="1"/>
  <c r="I72" i="1"/>
  <c r="I71" i="1"/>
  <c r="H71" i="1"/>
  <c r="H70" i="1"/>
  <c r="H69" i="1"/>
  <c r="H68" i="1"/>
  <c r="H67" i="1"/>
  <c r="H66" i="1"/>
  <c r="H65" i="1"/>
  <c r="H64" i="1"/>
  <c r="H63" i="1"/>
  <c r="H62" i="1"/>
  <c r="H61" i="1"/>
  <c r="H60" i="1"/>
  <c r="I60" i="1"/>
  <c r="E108" i="1"/>
  <c r="F109" i="1" s="1"/>
  <c r="E107" i="1"/>
  <c r="E103" i="1"/>
  <c r="E102" i="1"/>
  <c r="E93" i="1"/>
  <c r="E83" i="1"/>
  <c r="E82" i="1"/>
  <c r="E92" i="1"/>
  <c r="E88" i="1"/>
  <c r="E87" i="1"/>
  <c r="E78" i="1"/>
  <c r="E77" i="1"/>
  <c r="E98" i="1"/>
  <c r="F99" i="1" s="1"/>
  <c r="F89" i="1"/>
  <c r="E73" i="1"/>
  <c r="F74" i="1" s="1"/>
  <c r="E68" i="1"/>
  <c r="E67" i="1"/>
  <c r="F69" i="1" s="1"/>
  <c r="E63" i="1"/>
  <c r="E62" i="1"/>
  <c r="E58" i="1"/>
  <c r="E57" i="1"/>
  <c r="E53" i="1"/>
  <c r="E52" i="1"/>
  <c r="F49" i="1"/>
  <c r="E48" i="1"/>
  <c r="B47" i="1"/>
  <c r="F44" i="1"/>
  <c r="E43" i="1"/>
  <c r="E42" i="1"/>
  <c r="B37" i="1"/>
  <c r="G41" i="1"/>
  <c r="F32" i="1"/>
  <c r="F33" i="1" s="1"/>
  <c r="E37" i="1" s="1"/>
  <c r="F38" i="1" s="1"/>
  <c r="F104" i="1" l="1"/>
  <c r="F94" i="1"/>
  <c r="F84" i="1"/>
  <c r="F79" i="1"/>
  <c r="F64" i="1"/>
  <c r="F59" i="1"/>
  <c r="F54" i="1"/>
  <c r="N13" i="1"/>
  <c r="N15" i="1" s="1"/>
  <c r="L33" i="1"/>
  <c r="N32" i="1"/>
  <c r="E26" i="1" s="1"/>
  <c r="P14" i="1"/>
  <c r="H14" i="1"/>
  <c r="H12" i="1" s="1"/>
  <c r="F12" i="1"/>
  <c r="D12" i="1"/>
  <c r="O31" i="1" l="1"/>
  <c r="O32" i="1" s="1"/>
  <c r="N16" i="1"/>
  <c r="N17" i="1" s="1"/>
  <c r="P77" i="1"/>
  <c r="P69" i="1"/>
  <c r="P61" i="1"/>
  <c r="P53" i="1"/>
  <c r="P45" i="1"/>
  <c r="P37" i="1"/>
  <c r="P40" i="1"/>
  <c r="P48" i="1"/>
  <c r="P56" i="1"/>
  <c r="P64" i="1"/>
  <c r="P72" i="1"/>
  <c r="P80" i="1"/>
  <c r="P88" i="1"/>
  <c r="P41" i="1"/>
  <c r="P49" i="1"/>
  <c r="P57" i="1"/>
  <c r="P65" i="1"/>
  <c r="P73" i="1"/>
  <c r="P81" i="1"/>
  <c r="P89" i="1"/>
  <c r="P32" i="1"/>
  <c r="P34" i="1"/>
  <c r="P42" i="1"/>
  <c r="P50" i="1"/>
  <c r="P58" i="1"/>
  <c r="P66" i="1"/>
  <c r="P74" i="1"/>
  <c r="P82" i="1"/>
  <c r="P90" i="1"/>
  <c r="P35" i="1"/>
  <c r="P43" i="1"/>
  <c r="P51" i="1"/>
  <c r="P59" i="1"/>
  <c r="P67" i="1"/>
  <c r="P75" i="1"/>
  <c r="P83" i="1"/>
  <c r="P91" i="1"/>
  <c r="P36" i="1"/>
  <c r="P44" i="1"/>
  <c r="P52" i="1"/>
  <c r="P60" i="1"/>
  <c r="P68" i="1"/>
  <c r="P76" i="1"/>
  <c r="P84" i="1"/>
  <c r="P85" i="1"/>
  <c r="P38" i="1"/>
  <c r="P46" i="1"/>
  <c r="P54" i="1"/>
  <c r="P62" i="1"/>
  <c r="P70" i="1"/>
  <c r="P78" i="1"/>
  <c r="P86" i="1"/>
  <c r="P33" i="1"/>
  <c r="P39" i="1"/>
  <c r="P47" i="1"/>
  <c r="P55" i="1"/>
  <c r="P63" i="1"/>
  <c r="P71" i="1"/>
  <c r="P79" i="1"/>
  <c r="P87" i="1"/>
  <c r="P92" i="1" l="1"/>
  <c r="Q32" i="1"/>
  <c r="R32" i="1" l="1"/>
  <c r="N33" i="1" s="1"/>
  <c r="O33" i="1" s="1"/>
  <c r="Q33" i="1" l="1"/>
  <c r="R33" i="1" l="1"/>
  <c r="N34" i="1" s="1"/>
  <c r="O34" i="1" l="1"/>
  <c r="Q34" i="1" l="1"/>
  <c r="R34" i="1" l="1"/>
  <c r="N35" i="1" s="1"/>
  <c r="O35" i="1" l="1"/>
  <c r="Q35" i="1" l="1"/>
  <c r="R35" i="1" l="1"/>
  <c r="N36" i="1" s="1"/>
  <c r="O36" i="1" s="1"/>
  <c r="Q36" i="1" l="1"/>
  <c r="R36" i="1" l="1"/>
  <c r="N37" i="1" s="1"/>
  <c r="O37" i="1" s="1"/>
  <c r="Q37" i="1" s="1"/>
  <c r="R37" i="1" s="1"/>
  <c r="N38" i="1" s="1"/>
  <c r="O38" i="1" l="1"/>
  <c r="Q38" i="1" s="1"/>
  <c r="R38" i="1" s="1"/>
  <c r="N39" i="1" s="1"/>
  <c r="O39" i="1" l="1"/>
  <c r="Q39" i="1" s="1"/>
  <c r="R39" i="1" s="1"/>
  <c r="N40" i="1" s="1"/>
  <c r="O40" i="1" s="1"/>
  <c r="Q40" i="1" s="1"/>
  <c r="R40" i="1" s="1"/>
  <c r="N41" i="1" s="1"/>
  <c r="O41" i="1" s="1"/>
  <c r="Q41" i="1" s="1"/>
  <c r="R41" i="1" s="1"/>
  <c r="N42" i="1" s="1"/>
  <c r="O42" i="1" s="1"/>
  <c r="Q42" i="1" s="1"/>
  <c r="R42" i="1" l="1"/>
  <c r="N43" i="1" s="1"/>
  <c r="F27" i="1"/>
  <c r="O43" i="1"/>
  <c r="Q43" i="1" s="1"/>
  <c r="R43" i="1" l="1"/>
  <c r="N44" i="1" s="1"/>
  <c r="O44" i="1" s="1"/>
  <c r="Q44" i="1" s="1"/>
  <c r="R44" i="1" s="1"/>
  <c r="N45" i="1" s="1"/>
  <c r="O45" i="1" s="1"/>
  <c r="Q45" i="1"/>
  <c r="R45" i="1" s="1"/>
  <c r="N46" i="1" s="1"/>
  <c r="O46" i="1" s="1"/>
  <c r="Q46" i="1" s="1"/>
  <c r="R46" i="1" s="1"/>
  <c r="N47" i="1" s="1"/>
  <c r="O47" i="1" s="1"/>
  <c r="Q47" i="1" s="1"/>
  <c r="R47" i="1" s="1"/>
  <c r="N48" i="1" s="1"/>
  <c r="J12" i="1"/>
  <c r="B12" i="1" s="1"/>
  <c r="N19" i="1" l="1"/>
  <c r="N18" i="1" s="1"/>
  <c r="O48" i="1"/>
  <c r="Q48" i="1" s="1"/>
  <c r="R48" i="1" s="1"/>
  <c r="N49" i="1" s="1"/>
  <c r="O49" i="1" s="1"/>
  <c r="Q49" i="1" s="1"/>
  <c r="R49" i="1" s="1"/>
  <c r="N50" i="1" s="1"/>
  <c r="O50" i="1" s="1"/>
  <c r="Q50" i="1" s="1"/>
  <c r="R50" i="1" s="1"/>
  <c r="N51" i="1" s="1"/>
  <c r="O51" i="1" l="1"/>
  <c r="Q51" i="1" s="1"/>
  <c r="R51" i="1" s="1"/>
  <c r="N52" i="1" s="1"/>
  <c r="O52" i="1" s="1"/>
  <c r="Q52" i="1" s="1"/>
  <c r="R52" i="1" s="1"/>
  <c r="N53" i="1" s="1"/>
  <c r="O53" i="1" l="1"/>
  <c r="Q53" i="1" s="1"/>
  <c r="R53" i="1" l="1"/>
  <c r="N54" i="1" s="1"/>
  <c r="O54" i="1"/>
  <c r="Q54" i="1" s="1"/>
  <c r="R54" i="1" s="1"/>
  <c r="N55" i="1" s="1"/>
  <c r="O55" i="1" l="1"/>
  <c r="Q55" i="1" s="1"/>
  <c r="R55" i="1" s="1"/>
  <c r="N56" i="1" s="1"/>
  <c r="O56" i="1" l="1"/>
  <c r="Q56" i="1" s="1"/>
  <c r="R56" i="1" s="1"/>
  <c r="N57" i="1" s="1"/>
  <c r="O57" i="1" l="1"/>
  <c r="Q57" i="1" s="1"/>
  <c r="R57" i="1" s="1"/>
  <c r="N58" i="1" s="1"/>
  <c r="O58" i="1" l="1"/>
  <c r="Q58" i="1" s="1"/>
  <c r="R58" i="1" s="1"/>
  <c r="N59" i="1" s="1"/>
  <c r="O59" i="1" l="1"/>
  <c r="Q59" i="1" s="1"/>
  <c r="R59" i="1"/>
  <c r="N60" i="1" s="1"/>
  <c r="O60" i="1" l="1"/>
  <c r="Q60" i="1" s="1"/>
  <c r="R60" i="1" s="1"/>
  <c r="N61" i="1" s="1"/>
  <c r="O61" i="1" l="1"/>
  <c r="Q61" i="1" s="1"/>
  <c r="R61" i="1"/>
  <c r="N62" i="1" s="1"/>
  <c r="O62" i="1" l="1"/>
  <c r="Q62" i="1" s="1"/>
  <c r="R62" i="1" s="1"/>
  <c r="N63" i="1" s="1"/>
  <c r="O63" i="1" l="1"/>
  <c r="Q63" i="1" s="1"/>
  <c r="R63" i="1" s="1"/>
  <c r="N64" i="1" s="1"/>
  <c r="O64" i="1" l="1"/>
  <c r="Q64" i="1" s="1"/>
  <c r="R64" i="1"/>
  <c r="N65" i="1" s="1"/>
  <c r="O65" i="1" l="1"/>
  <c r="Q65" i="1" s="1"/>
  <c r="R65" i="1" s="1"/>
  <c r="N66" i="1" s="1"/>
  <c r="O66" i="1" l="1"/>
  <c r="Q66" i="1" s="1"/>
  <c r="R66" i="1"/>
  <c r="N67" i="1" s="1"/>
  <c r="O67" i="1" l="1"/>
  <c r="Q67" i="1" s="1"/>
  <c r="R67" i="1" s="1"/>
  <c r="N68" i="1" s="1"/>
  <c r="O68" i="1" l="1"/>
  <c r="Q68" i="1" s="1"/>
  <c r="R68" i="1" s="1"/>
  <c r="N69" i="1" s="1"/>
  <c r="O69" i="1" l="1"/>
  <c r="Q69" i="1" s="1"/>
  <c r="R69" i="1"/>
  <c r="N70" i="1" s="1"/>
  <c r="O70" i="1" l="1"/>
  <c r="Q70" i="1" s="1"/>
  <c r="R70" i="1" s="1"/>
  <c r="N71" i="1" s="1"/>
  <c r="O71" i="1" l="1"/>
  <c r="Q71" i="1" s="1"/>
  <c r="R71" i="1" s="1"/>
  <c r="N72" i="1" s="1"/>
  <c r="O72" i="1" l="1"/>
  <c r="Q72" i="1" s="1"/>
  <c r="R72" i="1"/>
  <c r="N73" i="1" s="1"/>
  <c r="O73" i="1" l="1"/>
  <c r="Q73" i="1" s="1"/>
  <c r="R73" i="1" s="1"/>
  <c r="N74" i="1" s="1"/>
  <c r="O74" i="1" l="1"/>
  <c r="Q74" i="1" s="1"/>
  <c r="R74" i="1"/>
  <c r="N75" i="1" s="1"/>
  <c r="O75" i="1" l="1"/>
  <c r="Q75" i="1" s="1"/>
  <c r="R75" i="1"/>
  <c r="N76" i="1" s="1"/>
  <c r="O76" i="1" l="1"/>
  <c r="Q76" i="1" s="1"/>
  <c r="R76" i="1"/>
  <c r="N77" i="1" s="1"/>
  <c r="O77" i="1" l="1"/>
  <c r="Q77" i="1" s="1"/>
  <c r="R77" i="1" s="1"/>
  <c r="N78" i="1" s="1"/>
  <c r="O78" i="1" l="1"/>
  <c r="Q78" i="1" s="1"/>
  <c r="R78" i="1"/>
  <c r="N79" i="1" s="1"/>
  <c r="O79" i="1" l="1"/>
  <c r="Q79" i="1" s="1"/>
  <c r="R79" i="1" s="1"/>
  <c r="N80" i="1" s="1"/>
  <c r="O80" i="1" l="1"/>
  <c r="Q80" i="1" s="1"/>
  <c r="R80" i="1"/>
  <c r="N81" i="1" s="1"/>
  <c r="O81" i="1" l="1"/>
  <c r="Q81" i="1" s="1"/>
  <c r="R81" i="1" s="1"/>
  <c r="N82" i="1" s="1"/>
  <c r="O82" i="1" l="1"/>
  <c r="Q82" i="1" s="1"/>
  <c r="R82" i="1" s="1"/>
  <c r="N83" i="1" s="1"/>
  <c r="O83" i="1" l="1"/>
  <c r="Q83" i="1" s="1"/>
  <c r="R83" i="1"/>
  <c r="N84" i="1" s="1"/>
  <c r="O84" i="1" l="1"/>
  <c r="Q84" i="1" s="1"/>
  <c r="R84" i="1" s="1"/>
  <c r="N85" i="1" s="1"/>
  <c r="O85" i="1" l="1"/>
  <c r="Q85" i="1" s="1"/>
  <c r="R85" i="1"/>
  <c r="N86" i="1" s="1"/>
  <c r="O86" i="1" l="1"/>
  <c r="Q86" i="1" s="1"/>
  <c r="R86" i="1" s="1"/>
  <c r="N87" i="1" s="1"/>
  <c r="O87" i="1" l="1"/>
  <c r="Q87" i="1" s="1"/>
  <c r="R87" i="1" s="1"/>
  <c r="N88" i="1" s="1"/>
  <c r="O88" i="1" l="1"/>
  <c r="Q88" i="1" s="1"/>
  <c r="R88" i="1" s="1"/>
  <c r="N89" i="1" s="1"/>
  <c r="O89" i="1" l="1"/>
  <c r="Q89" i="1" s="1"/>
  <c r="R89" i="1" s="1"/>
  <c r="N90" i="1" s="1"/>
  <c r="O90" i="1" l="1"/>
  <c r="Q90" i="1" s="1"/>
  <c r="R90" i="1" s="1"/>
  <c r="N91" i="1" s="1"/>
  <c r="O91" i="1" l="1"/>
  <c r="Q91" i="1" l="1"/>
  <c r="F28" i="1" s="1"/>
  <c r="O92" i="1"/>
  <c r="R91" i="1" l="1"/>
  <c r="Q92" i="1"/>
</calcChain>
</file>

<file path=xl/sharedStrings.xml><?xml version="1.0" encoding="utf-8"?>
<sst xmlns="http://schemas.openxmlformats.org/spreadsheetml/2006/main" count="173" uniqueCount="113">
  <si>
    <t>Taller sobre NIC 16 + NIC 23</t>
  </si>
  <si>
    <t>a) Determine el saldo inicial del Galpón (Bodega)</t>
  </si>
  <si>
    <t>Costo inicial</t>
  </si>
  <si>
    <t xml:space="preserve"> =</t>
  </si>
  <si>
    <t>A</t>
  </si>
  <si>
    <t xml:space="preserve"> +</t>
  </si>
  <si>
    <t>B</t>
  </si>
  <si>
    <t>C / (1+i)^n</t>
  </si>
  <si>
    <t>D</t>
  </si>
  <si>
    <t>1 Estado de Avance</t>
  </si>
  <si>
    <t>2 Estado de Avance</t>
  </si>
  <si>
    <t>3 Estado de Avance</t>
  </si>
  <si>
    <t>4 Estado de Avance</t>
  </si>
  <si>
    <t>Desembolso futuro estimado</t>
  </si>
  <si>
    <t>Factor de descuento</t>
  </si>
  <si>
    <t>Costos por Préstamos</t>
  </si>
  <si>
    <t>Préstamo</t>
  </si>
  <si>
    <t>Capital</t>
  </si>
  <si>
    <t>Tasa</t>
  </si>
  <si>
    <t>Periodo</t>
  </si>
  <si>
    <t>Cuota mensual</t>
  </si>
  <si>
    <t>tasa anual</t>
  </si>
  <si>
    <t>tasa mensual equivalente a tasa anual</t>
  </si>
  <si>
    <t xml:space="preserve"> ((1+i)^(1/n))-1</t>
  </si>
  <si>
    <t xml:space="preserve"> =PAGO()</t>
  </si>
  <si>
    <t>Deuda total</t>
  </si>
  <si>
    <t>Interés total</t>
  </si>
  <si>
    <t>Tabla de Amortización</t>
  </si>
  <si>
    <t>Inicial</t>
  </si>
  <si>
    <t>Interés</t>
  </si>
  <si>
    <t>Cuota</t>
  </si>
  <si>
    <t>Amortización</t>
  </si>
  <si>
    <t>Final</t>
  </si>
  <si>
    <t>Mensual</t>
  </si>
  <si>
    <t>Gasto</t>
  </si>
  <si>
    <t>Capitalizado</t>
  </si>
  <si>
    <t xml:space="preserve"> b) Registros contables</t>
  </si>
  <si>
    <t>DEBE</t>
  </si>
  <si>
    <t>HABER</t>
  </si>
  <si>
    <t>FECHA</t>
  </si>
  <si>
    <t>DETALLE</t>
  </si>
  <si>
    <t>Galpón queda listo para su uso</t>
  </si>
  <si>
    <t>Bodega en construcción</t>
  </si>
  <si>
    <t>Bodega en Construcción</t>
  </si>
  <si>
    <t>Bodega</t>
  </si>
  <si>
    <t>Activos</t>
  </si>
  <si>
    <t>Activos No Corrientes</t>
  </si>
  <si>
    <t>Propiedades, Planta y Equipo</t>
  </si>
  <si>
    <t>Terrenos</t>
  </si>
  <si>
    <t>Construcciones o Edificaciones</t>
  </si>
  <si>
    <t>Obras en construcción</t>
  </si>
  <si>
    <t>Maquinarias y equipos</t>
  </si>
  <si>
    <t>Vehículos</t>
  </si>
  <si>
    <t>Herramientas</t>
  </si>
  <si>
    <t>Muebles y útiles</t>
  </si>
  <si>
    <t>Otras PPE</t>
  </si>
  <si>
    <t>Plan de Cuenta</t>
  </si>
  <si>
    <t>Nivel 1</t>
  </si>
  <si>
    <t>Nivel 2</t>
  </si>
  <si>
    <t>Nivel 3</t>
  </si>
  <si>
    <t>Nivel 4</t>
  </si>
  <si>
    <t>Obras en construcción zona norte</t>
  </si>
  <si>
    <t>Nivel 5</t>
  </si>
  <si>
    <t>Nivel 6</t>
  </si>
  <si>
    <t>Retención impuesto</t>
  </si>
  <si>
    <t>Boleta Honorario por Pagar</t>
  </si>
  <si>
    <t>Por los servicios administrativos para</t>
  </si>
  <si>
    <t>comenzar la construcción de a bodega</t>
  </si>
  <si>
    <t>Si valor entregado es neto</t>
  </si>
  <si>
    <t>para transformar a bruto</t>
  </si>
  <si>
    <t xml:space="preserve">se debe dividir por </t>
  </si>
  <si>
    <t xml:space="preserve"> (1-retención impuesto)</t>
  </si>
  <si>
    <t>Ejemplo:</t>
  </si>
  <si>
    <t>Honorario neto 2.175.000</t>
  </si>
  <si>
    <t>cuál es su valor bruto?</t>
  </si>
  <si>
    <t xml:space="preserve"> 2.175.000/(1-0,13)</t>
  </si>
  <si>
    <t>2.175.000/0.87</t>
  </si>
  <si>
    <t>NOTA:</t>
  </si>
  <si>
    <t>Costos administrativos (REG. 1)</t>
  </si>
  <si>
    <t>Boleta de Honorarios por Pagar</t>
  </si>
  <si>
    <t>Banco</t>
  </si>
  <si>
    <t xml:space="preserve">Por el pago de la boleta de honorario </t>
  </si>
  <si>
    <t>n° xxx.</t>
  </si>
  <si>
    <t>Préstamo bancario, corriente</t>
  </si>
  <si>
    <t>Préstamo bancario, no corriente</t>
  </si>
  <si>
    <t>Por el préstamo otorgado en banco X.</t>
  </si>
  <si>
    <t>Costo financiero</t>
  </si>
  <si>
    <t>Por el pago de la cuota 1</t>
  </si>
  <si>
    <t>IVA C.F</t>
  </si>
  <si>
    <t>Factura por pagar</t>
  </si>
  <si>
    <t>Por el avance 1 de la construcción bodega</t>
  </si>
  <si>
    <t>Por el pago de la cuota 2</t>
  </si>
  <si>
    <t>Por el pago de la cuota 3</t>
  </si>
  <si>
    <t>Por el pago de la cuota 4</t>
  </si>
  <si>
    <t>Por el pago de la cuota 6</t>
  </si>
  <si>
    <t>Por el pago de la cuota 5</t>
  </si>
  <si>
    <t>Por el avance 2 de la construcción bodega</t>
  </si>
  <si>
    <t>Por el pago de la cuota 7</t>
  </si>
  <si>
    <t>Por el pago de la cuota 8</t>
  </si>
  <si>
    <t>Por el pago de la cuota 9</t>
  </si>
  <si>
    <t>Por el avance 3 de la construcción bodega</t>
  </si>
  <si>
    <t>Por el pago de la cuota 10</t>
  </si>
  <si>
    <t>Por el pago de la cuota 11</t>
  </si>
  <si>
    <t>Saldada</t>
  </si>
  <si>
    <t>Por la reclasificación del largo al corto</t>
  </si>
  <si>
    <t>plazo. Cuota 12 a 23.</t>
  </si>
  <si>
    <t>Devengar costo financiero de cuota 12</t>
  </si>
  <si>
    <t>Costos financieros</t>
  </si>
  <si>
    <t>Saldo al 02-03-22</t>
  </si>
  <si>
    <t>Saldo al 31-12-21</t>
  </si>
  <si>
    <t>Diferencia por activar</t>
  </si>
  <si>
    <t>Control</t>
  </si>
  <si>
    <t>Capitalizacion costos financieros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</si>
</sst>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_ * #,##0.000_ ;_ * \-#,##0.000_ ;_ * &quot;-&quot;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164" fontId="0" fillId="0" borderId="0" xfId="1" applyFont="1"/>
    <xf numFmtId="164" fontId="2" fillId="0" borderId="0" xfId="1" applyFont="1"/>
    <xf numFmtId="164" fontId="0" fillId="0" borderId="0" xfId="1" applyFont="1" applyAlignment="1">
      <alignment horizontal="center"/>
    </xf>
    <xf numFmtId="164" fontId="4" fillId="0" borderId="0" xfId="1" applyFont="1"/>
    <xf numFmtId="165" fontId="0" fillId="0" borderId="0" xfId="1" applyNumberFormat="1" applyFont="1"/>
    <xf numFmtId="164" fontId="3" fillId="0" borderId="0" xfId="1" applyFont="1" applyAlignment="1">
      <alignment horizontal="center"/>
    </xf>
    <xf numFmtId="164" fontId="4" fillId="0" borderId="0" xfId="1" applyFont="1" applyAlignment="1">
      <alignment horizontal="center"/>
    </xf>
    <xf numFmtId="9" fontId="0" fillId="0" borderId="0" xfId="1" applyNumberFormat="1" applyFont="1"/>
    <xf numFmtId="10" fontId="0" fillId="0" borderId="0" xfId="2" applyNumberFormat="1" applyFont="1"/>
    <xf numFmtId="10" fontId="0" fillId="0" borderId="0" xfId="1" applyNumberFormat="1" applyFont="1"/>
    <xf numFmtId="164" fontId="3" fillId="0" borderId="1" xfId="1" applyFont="1" applyBorder="1" applyAlignment="1">
      <alignment horizontal="center"/>
    </xf>
    <xf numFmtId="10" fontId="3" fillId="0" borderId="1" xfId="1" applyNumberFormat="1" applyFont="1" applyBorder="1" applyAlignment="1">
      <alignment horizontal="center"/>
    </xf>
    <xf numFmtId="164" fontId="0" fillId="0" borderId="1" xfId="1" applyFont="1" applyBorder="1"/>
    <xf numFmtId="14" fontId="0" fillId="0" borderId="0" xfId="1" applyNumberFormat="1" applyFont="1"/>
    <xf numFmtId="164" fontId="0" fillId="2" borderId="0" xfId="1" applyFont="1" applyFill="1"/>
    <xf numFmtId="164" fontId="0" fillId="0" borderId="2" xfId="1" applyFont="1" applyBorder="1"/>
    <xf numFmtId="164" fontId="0" fillId="0" borderId="3" xfId="1" applyFont="1" applyBorder="1"/>
    <xf numFmtId="164" fontId="0" fillId="0" borderId="4" xfId="1" applyFont="1" applyBorder="1"/>
    <xf numFmtId="164" fontId="0" fillId="2" borderId="5" xfId="1" applyFont="1" applyFill="1" applyBorder="1"/>
    <xf numFmtId="164" fontId="0" fillId="0" borderId="6" xfId="1" applyFont="1" applyBorder="1"/>
    <xf numFmtId="164" fontId="0" fillId="0" borderId="7" xfId="1" applyFont="1" applyBorder="1"/>
    <xf numFmtId="164" fontId="0" fillId="0" borderId="8" xfId="1" applyFont="1" applyBorder="1" applyAlignment="1">
      <alignment horizontal="center"/>
    </xf>
    <xf numFmtId="164" fontId="0" fillId="0" borderId="9" xfId="1" applyFont="1" applyBorder="1" applyAlignment="1">
      <alignment horizontal="center"/>
    </xf>
    <xf numFmtId="164" fontId="0" fillId="0" borderId="14" xfId="1" applyFont="1" applyBorder="1"/>
    <xf numFmtId="164" fontId="0" fillId="0" borderId="10" xfId="1" applyFont="1" applyBorder="1" applyAlignment="1">
      <alignment horizontal="center"/>
    </xf>
    <xf numFmtId="164" fontId="0" fillId="0" borderId="0" xfId="1" applyFont="1" applyAlignment="1">
      <alignment horizontal="right"/>
    </xf>
    <xf numFmtId="164" fontId="0" fillId="0" borderId="15" xfId="1" applyFont="1" applyBorder="1"/>
    <xf numFmtId="164" fontId="0" fillId="0" borderId="16" xfId="1" applyFont="1" applyBorder="1"/>
    <xf numFmtId="164" fontId="0" fillId="0" borderId="0" xfId="1" applyFont="1" applyAlignment="1">
      <alignment horizontal="left" indent="1"/>
    </xf>
    <xf numFmtId="164" fontId="0" fillId="0" borderId="0" xfId="1" applyFont="1" applyAlignment="1">
      <alignment horizontal="left" indent="2"/>
    </xf>
    <xf numFmtId="164" fontId="0" fillId="0" borderId="0" xfId="1" applyFont="1" applyAlignment="1">
      <alignment horizontal="left" indent="3"/>
    </xf>
    <xf numFmtId="164" fontId="0" fillId="0" borderId="0" xfId="1" applyFont="1" applyAlignment="1">
      <alignment horizontal="left" indent="4"/>
    </xf>
    <xf numFmtId="14" fontId="4" fillId="0" borderId="11" xfId="1" applyNumberFormat="1" applyFont="1" applyBorder="1"/>
    <xf numFmtId="164" fontId="4" fillId="0" borderId="11" xfId="1" applyFont="1" applyBorder="1"/>
    <xf numFmtId="164" fontId="4" fillId="0" borderId="12" xfId="1" applyFont="1" applyBorder="1"/>
    <xf numFmtId="164" fontId="5" fillId="0" borderId="0" xfId="1" applyFont="1"/>
    <xf numFmtId="164" fontId="6" fillId="3" borderId="0" xfId="1" applyFont="1" applyFill="1"/>
    <xf numFmtId="164" fontId="5" fillId="3" borderId="0" xfId="1" applyFont="1" applyFill="1"/>
    <xf numFmtId="164" fontId="5" fillId="3" borderId="0" xfId="1" applyFont="1" applyFill="1" applyAlignment="1">
      <alignment horizontal="left"/>
    </xf>
    <xf numFmtId="164" fontId="4" fillId="0" borderId="1" xfId="1" applyFont="1" applyBorder="1"/>
    <xf numFmtId="164" fontId="4" fillId="0" borderId="16" xfId="1" applyFont="1" applyBorder="1"/>
    <xf numFmtId="14" fontId="4" fillId="0" borderId="11" xfId="1" applyNumberFormat="1" applyFont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4" fillId="0" borderId="13" xfId="1" applyFont="1" applyBorder="1" applyAlignment="1">
      <alignment horizontal="center"/>
    </xf>
    <xf numFmtId="164" fontId="4" fillId="0" borderId="17" xfId="1" applyFont="1" applyBorder="1" applyAlignment="1">
      <alignment horizontal="center"/>
    </xf>
    <xf numFmtId="164" fontId="4" fillId="0" borderId="11" xfId="1" applyFont="1" applyBorder="1" applyAlignment="1">
      <alignment horizontal="center"/>
    </xf>
    <xf numFmtId="164" fontId="4" fillId="0" borderId="16" xfId="1" applyFont="1" applyBorder="1" applyAlignment="1">
      <alignment horizontal="center"/>
    </xf>
    <xf numFmtId="164" fontId="4" fillId="0" borderId="12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164" fontId="4" fillId="0" borderId="14" xfId="1" applyFont="1" applyBorder="1" applyAlignment="1">
      <alignment horizontal="center"/>
    </xf>
    <xf numFmtId="164" fontId="4" fillId="0" borderId="0" xfId="1" applyFont="1" applyBorder="1" applyAlignment="1">
      <alignment horizontal="left"/>
    </xf>
    <xf numFmtId="164" fontId="0" fillId="0" borderId="0" xfId="1" applyFont="1" applyBorder="1"/>
    <xf numFmtId="164" fontId="0" fillId="0" borderId="8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2" fillId="0" borderId="0" xfId="1" applyFont="1" applyAlignment="1">
      <alignment horizontal="right"/>
    </xf>
    <xf numFmtId="164" fontId="2" fillId="0" borderId="0" xfId="1" applyFont="1" applyAlignment="1">
      <alignment horizontal="left" indent="5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126743</xdr:colOff>
      <xdr:row>49</xdr:row>
      <xdr:rowOff>18322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548640"/>
          <a:ext cx="7259063" cy="843080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abSelected="1" workbookViewId="0">
      <selection activeCell="L19" sqref="L19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T125"/>
  <sheetViews>
    <sheetView showGridLines="0" zoomScale="97" zoomScaleNormal="220" workbookViewId="0">
      <selection activeCell="A39" sqref="A39"/>
    </sheetView>
  </sheetViews>
  <sheetFormatPr baseColWidth="10" defaultColWidth="11.44140625" defaultRowHeight="14.4" x14ac:dyDescent="0.3"/>
  <cols>
    <col min="1" max="1" width="14.109375" style="1" customWidth="1"/>
    <col min="2" max="2" width="12.109375" style="1" bestFit="1" customWidth="1"/>
    <col min="3" max="3" width="5.44140625" style="1" customWidth="1"/>
    <col min="4" max="4" width="25.33203125" style="1" customWidth="1"/>
    <col min="5" max="5" width="16.88671875" style="1" bestFit="1" customWidth="1"/>
    <col min="6" max="6" width="15.5546875" style="1" customWidth="1"/>
    <col min="7" max="7" width="22.44140625" style="1" customWidth="1"/>
    <col min="8" max="8" width="16.88671875" style="1" customWidth="1"/>
    <col min="9" max="9" width="21.44140625" style="1" customWidth="1"/>
    <col min="10" max="10" width="18.6640625" style="1" bestFit="1" customWidth="1"/>
    <col min="11" max="12" width="11.44140625" style="1"/>
    <col min="13" max="13" width="15" style="1" bestFit="1" customWidth="1"/>
    <col min="14" max="14" width="12.6640625" style="1" bestFit="1" customWidth="1"/>
    <col min="15" max="15" width="11.44140625" style="1"/>
    <col min="16" max="16" width="12.109375" style="1" bestFit="1" customWidth="1"/>
    <col min="17" max="17" width="12.109375" style="1" customWidth="1"/>
    <col min="18" max="18" width="12.109375" style="1" bestFit="1" customWidth="1"/>
    <col min="19" max="16384" width="11.44140625" style="1"/>
  </cols>
  <sheetData>
    <row r="5" spans="1:20" x14ac:dyDescent="0.3">
      <c r="B5" s="2" t="s">
        <v>0</v>
      </c>
    </row>
    <row r="8" spans="1:20" x14ac:dyDescent="0.3">
      <c r="B8" s="1" t="s">
        <v>1</v>
      </c>
    </row>
    <row r="10" spans="1:20" x14ac:dyDescent="0.3">
      <c r="J10" s="7" t="s">
        <v>15</v>
      </c>
      <c r="M10" s="2" t="s">
        <v>16</v>
      </c>
    </row>
    <row r="11" spans="1:20" x14ac:dyDescent="0.3">
      <c r="B11" s="1" t="s">
        <v>2</v>
      </c>
      <c r="C11" s="1" t="s">
        <v>3</v>
      </c>
      <c r="D11" s="3" t="s">
        <v>4</v>
      </c>
      <c r="E11" s="3" t="s">
        <v>5</v>
      </c>
      <c r="F11" s="3" t="s">
        <v>6</v>
      </c>
      <c r="G11" s="3" t="s">
        <v>5</v>
      </c>
      <c r="H11" s="3" t="s">
        <v>7</v>
      </c>
      <c r="I11" s="3" t="s">
        <v>5</v>
      </c>
      <c r="J11" s="3" t="s">
        <v>8</v>
      </c>
    </row>
    <row r="12" spans="1:20" x14ac:dyDescent="0.3">
      <c r="A12" s="36" t="s">
        <v>108</v>
      </c>
      <c r="B12" s="1">
        <f>SUM(D12:J12)</f>
        <v>240922908.84988612</v>
      </c>
      <c r="D12" s="1">
        <f>SUM(D13:D16)</f>
        <v>220000000</v>
      </c>
      <c r="F12" s="1">
        <f>SUM(F13:F16)</f>
        <v>2500000</v>
      </c>
      <c r="H12" s="1">
        <f>+H13/H14</f>
        <v>6093854.5818721997</v>
      </c>
      <c r="J12" s="15">
        <f>SUM(O32:O45)</f>
        <v>12329054.268013917</v>
      </c>
      <c r="M12" s="1" t="s">
        <v>17</v>
      </c>
      <c r="N12" s="1">
        <v>200000000</v>
      </c>
      <c r="P12" s="9"/>
    </row>
    <row r="13" spans="1:20" x14ac:dyDescent="0.3">
      <c r="A13" s="36" t="s">
        <v>109</v>
      </c>
      <c r="B13" s="1">
        <f>+H41</f>
        <v>178242279.23893166</v>
      </c>
      <c r="D13" s="1">
        <v>55000000</v>
      </c>
      <c r="E13" s="4" t="s">
        <v>9</v>
      </c>
      <c r="F13" s="1">
        <v>2500000</v>
      </c>
      <c r="G13" s="4" t="s">
        <v>78</v>
      </c>
      <c r="H13" s="1">
        <v>35000000</v>
      </c>
      <c r="I13" s="4" t="s">
        <v>13</v>
      </c>
      <c r="M13" s="1" t="s">
        <v>18</v>
      </c>
      <c r="N13" s="10">
        <f>+P14</f>
        <v>4.8675505653430484E-3</v>
      </c>
      <c r="P13" s="8">
        <v>0.06</v>
      </c>
      <c r="Q13" s="1" t="s">
        <v>21</v>
      </c>
    </row>
    <row r="14" spans="1:20" x14ac:dyDescent="0.3">
      <c r="A14" s="36" t="s">
        <v>110</v>
      </c>
      <c r="B14" s="1">
        <f>+B12-B13</f>
        <v>62680629.610954463</v>
      </c>
      <c r="D14" s="1">
        <v>55000000</v>
      </c>
      <c r="E14" s="4" t="s">
        <v>10</v>
      </c>
      <c r="H14" s="5">
        <f>+(1+0.06)^30</f>
        <v>5.7434911729132594</v>
      </c>
      <c r="I14" s="4" t="s">
        <v>14</v>
      </c>
      <c r="M14" s="1" t="s">
        <v>19</v>
      </c>
      <c r="N14" s="1">
        <v>60</v>
      </c>
      <c r="P14" s="9">
        <f>+((1+P13)^(0.0833333333333333))-1</f>
        <v>4.8675505653430484E-3</v>
      </c>
      <c r="Q14" s="1" t="s">
        <v>22</v>
      </c>
      <c r="T14" s="1" t="s">
        <v>23</v>
      </c>
    </row>
    <row r="15" spans="1:20" x14ac:dyDescent="0.3">
      <c r="B15" s="1">
        <f>+D16+H12+O44+O45</f>
        <v>62680629.610954456</v>
      </c>
      <c r="C15" s="36" t="s">
        <v>111</v>
      </c>
      <c r="D15" s="1">
        <v>55000000</v>
      </c>
      <c r="E15" s="4" t="s">
        <v>11</v>
      </c>
      <c r="M15" s="1" t="s">
        <v>20</v>
      </c>
      <c r="N15" s="1">
        <f>PMT(N13,N14,-N12)</f>
        <v>3851796.6104307994</v>
      </c>
      <c r="O15" s="1" t="s">
        <v>24</v>
      </c>
    </row>
    <row r="16" spans="1:20" ht="15" thickBot="1" x14ac:dyDescent="0.35">
      <c r="D16" s="1">
        <v>55000000</v>
      </c>
      <c r="E16" s="4" t="s">
        <v>12</v>
      </c>
      <c r="M16" s="1" t="s">
        <v>25</v>
      </c>
      <c r="N16" s="1">
        <f>+N14*N15</f>
        <v>231107796.62584797</v>
      </c>
    </row>
    <row r="17" spans="2:18" x14ac:dyDescent="0.3">
      <c r="M17" s="16" t="s">
        <v>26</v>
      </c>
      <c r="N17" s="17">
        <f>+N16-N12</f>
        <v>31107796.625847965</v>
      </c>
    </row>
    <row r="18" spans="2:18" x14ac:dyDescent="0.3">
      <c r="M18" s="18" t="s">
        <v>35</v>
      </c>
      <c r="N18" s="19">
        <f>+N17-N19</f>
        <v>12329054.268013917</v>
      </c>
    </row>
    <row r="19" spans="2:18" ht="15" thickBot="1" x14ac:dyDescent="0.35">
      <c r="M19" s="20" t="s">
        <v>34</v>
      </c>
      <c r="N19" s="21">
        <f>+N17-J12</f>
        <v>18778742.357834049</v>
      </c>
    </row>
    <row r="22" spans="2:18" x14ac:dyDescent="0.3">
      <c r="M22" s="2" t="s">
        <v>27</v>
      </c>
    </row>
    <row r="23" spans="2:18" x14ac:dyDescent="0.3">
      <c r="B23" s="1" t="s">
        <v>36</v>
      </c>
      <c r="M23" s="2"/>
    </row>
    <row r="24" spans="2:18" ht="15" thickBot="1" x14ac:dyDescent="0.35"/>
    <row r="25" spans="2:18" ht="15" thickBot="1" x14ac:dyDescent="0.35">
      <c r="B25" s="25" t="s">
        <v>39</v>
      </c>
      <c r="C25" s="53" t="s">
        <v>40</v>
      </c>
      <c r="D25" s="53"/>
      <c r="E25" s="22" t="s">
        <v>37</v>
      </c>
      <c r="F25" s="23" t="s">
        <v>38</v>
      </c>
    </row>
    <row r="26" spans="2:18" x14ac:dyDescent="0.3">
      <c r="B26" s="42">
        <v>44198</v>
      </c>
      <c r="C26" s="43" t="s">
        <v>80</v>
      </c>
      <c r="D26" s="43"/>
      <c r="E26" s="44">
        <f>+N32</f>
        <v>200000000</v>
      </c>
      <c r="F26" s="45"/>
      <c r="M26" s="6"/>
      <c r="N26" s="6"/>
      <c r="O26" s="6"/>
      <c r="P26" s="6"/>
      <c r="Q26" s="6"/>
      <c r="R26" s="6"/>
    </row>
    <row r="27" spans="2:18" x14ac:dyDescent="0.3">
      <c r="B27" s="46"/>
      <c r="C27" s="43"/>
      <c r="D27" s="51" t="s">
        <v>83</v>
      </c>
      <c r="E27" s="46"/>
      <c r="F27" s="47">
        <f>SUM(Q32:Q42)</f>
        <v>32443075.279457744</v>
      </c>
      <c r="M27" s="6"/>
      <c r="N27" s="6"/>
      <c r="O27" s="6"/>
      <c r="P27" s="6"/>
      <c r="Q27" s="6"/>
      <c r="R27" s="6"/>
    </row>
    <row r="28" spans="2:18" x14ac:dyDescent="0.3">
      <c r="B28" s="46"/>
      <c r="C28" s="43"/>
      <c r="D28" s="51" t="s">
        <v>84</v>
      </c>
      <c r="E28" s="46"/>
      <c r="F28" s="47">
        <f>SUM(Q43:Q91)</f>
        <v>167556924.72054228</v>
      </c>
      <c r="M28" s="6"/>
      <c r="N28" s="6"/>
      <c r="O28" s="6"/>
      <c r="P28" s="6"/>
      <c r="Q28" s="6"/>
      <c r="R28" s="6"/>
    </row>
    <row r="29" spans="2:18" x14ac:dyDescent="0.3">
      <c r="B29" s="46"/>
      <c r="C29" s="51" t="s">
        <v>85</v>
      </c>
      <c r="D29" s="43"/>
      <c r="E29" s="46"/>
      <c r="F29" s="47"/>
      <c r="M29" s="6"/>
      <c r="N29" s="6"/>
      <c r="O29" s="6"/>
      <c r="P29" s="6"/>
      <c r="Q29" s="6"/>
      <c r="R29" s="6"/>
    </row>
    <row r="30" spans="2:18" x14ac:dyDescent="0.3">
      <c r="B30" s="48"/>
      <c r="C30" s="49"/>
      <c r="D30" s="49"/>
      <c r="E30" s="48"/>
      <c r="F30" s="50"/>
      <c r="M30" s="6" t="s">
        <v>19</v>
      </c>
      <c r="N30" s="6" t="s">
        <v>17</v>
      </c>
      <c r="O30" s="6" t="s">
        <v>29</v>
      </c>
      <c r="P30" s="6" t="s">
        <v>30</v>
      </c>
      <c r="Q30" s="6" t="s">
        <v>31</v>
      </c>
      <c r="R30" s="6" t="s">
        <v>17</v>
      </c>
    </row>
    <row r="31" spans="2:18" x14ac:dyDescent="0.3">
      <c r="B31" s="33">
        <v>44227</v>
      </c>
      <c r="C31" s="4" t="s">
        <v>42</v>
      </c>
      <c r="D31" s="4"/>
      <c r="E31" s="34">
        <v>2500000</v>
      </c>
      <c r="F31" s="41"/>
      <c r="G31" s="37" t="s">
        <v>77</v>
      </c>
      <c r="M31" s="11" t="s">
        <v>33</v>
      </c>
      <c r="N31" s="11" t="s">
        <v>28</v>
      </c>
      <c r="O31" s="12">
        <f>+N13</f>
        <v>4.8675505653430484E-3</v>
      </c>
      <c r="P31" s="11"/>
      <c r="Q31" s="11"/>
      <c r="R31" s="11" t="s">
        <v>32</v>
      </c>
    </row>
    <row r="32" spans="2:18" x14ac:dyDescent="0.3">
      <c r="B32" s="34"/>
      <c r="C32" s="4"/>
      <c r="D32" s="4" t="s">
        <v>64</v>
      </c>
      <c r="E32" s="34"/>
      <c r="F32" s="34">
        <f>+E31*0.13</f>
        <v>325000</v>
      </c>
      <c r="G32" s="38" t="s">
        <v>68</v>
      </c>
      <c r="H32" s="54" t="s">
        <v>43</v>
      </c>
      <c r="I32" s="54"/>
      <c r="L32" s="14">
        <v>44229</v>
      </c>
      <c r="M32" s="1">
        <v>1</v>
      </c>
      <c r="N32" s="1">
        <f>+N12</f>
        <v>200000000</v>
      </c>
      <c r="O32" s="15">
        <f>+N32*$O$31</f>
        <v>973510.11306860973</v>
      </c>
      <c r="P32" s="1">
        <f>+$N$15</f>
        <v>3851796.6104307994</v>
      </c>
      <c r="Q32" s="1">
        <f>+P32-O32</f>
        <v>2878286.4973621899</v>
      </c>
      <c r="R32" s="1">
        <f>+N32-Q32</f>
        <v>197121713.5026378</v>
      </c>
    </row>
    <row r="33" spans="2:18" x14ac:dyDescent="0.3">
      <c r="B33" s="34"/>
      <c r="C33" s="4"/>
      <c r="D33" s="4" t="s">
        <v>65</v>
      </c>
      <c r="E33" s="34"/>
      <c r="F33" s="34">
        <f>+E31-F32</f>
        <v>2175000</v>
      </c>
      <c r="G33" s="38" t="s">
        <v>69</v>
      </c>
      <c r="H33" s="27">
        <f>+E31</f>
        <v>2500000</v>
      </c>
      <c r="L33" s="14">
        <f>+L32+28</f>
        <v>44257</v>
      </c>
      <c r="M33" s="1">
        <v>2</v>
      </c>
      <c r="N33" s="1">
        <f>+R32</f>
        <v>197121713.5026378</v>
      </c>
      <c r="O33" s="15">
        <f>+N33*$O$31</f>
        <v>959499.90800115501</v>
      </c>
      <c r="P33" s="1">
        <f>+$N$15</f>
        <v>3851796.6104307994</v>
      </c>
      <c r="Q33" s="1">
        <f>+P33-O33</f>
        <v>2892296.7024296443</v>
      </c>
      <c r="R33" s="1">
        <f>+N33-Q33</f>
        <v>194229416.80020815</v>
      </c>
    </row>
    <row r="34" spans="2:18" x14ac:dyDescent="0.3">
      <c r="B34" s="34"/>
      <c r="C34" s="4" t="s">
        <v>66</v>
      </c>
      <c r="D34" s="4"/>
      <c r="E34" s="34"/>
      <c r="F34" s="34"/>
      <c r="G34" s="38" t="s">
        <v>70</v>
      </c>
      <c r="H34" s="28">
        <f>+E47</f>
        <v>55000000</v>
      </c>
      <c r="L34" s="14">
        <v>44288</v>
      </c>
      <c r="M34" s="1">
        <v>3</v>
      </c>
      <c r="N34" s="1">
        <f t="shared" ref="N34:N67" si="0">+R33</f>
        <v>194229416.80020815</v>
      </c>
      <c r="O34" s="15">
        <f t="shared" ref="O34:O67" si="1">+N34*$O$31</f>
        <v>945421.50755210372</v>
      </c>
      <c r="P34" s="1">
        <f t="shared" ref="P34:P91" si="2">+$N$15</f>
        <v>3851796.6104307994</v>
      </c>
      <c r="Q34" s="1">
        <f t="shared" ref="Q34:Q67" si="3">+P34-O34</f>
        <v>2906375.1028786958</v>
      </c>
      <c r="R34" s="1">
        <f t="shared" ref="R34:R67" si="4">+N34-Q34</f>
        <v>191323041.69732946</v>
      </c>
    </row>
    <row r="35" spans="2:18" x14ac:dyDescent="0.3">
      <c r="B35" s="34"/>
      <c r="C35" s="4" t="s">
        <v>67</v>
      </c>
      <c r="D35" s="4"/>
      <c r="E35" s="34"/>
      <c r="F35" s="34"/>
      <c r="G35" s="38" t="s">
        <v>71</v>
      </c>
      <c r="H35" s="28">
        <f>+E72</f>
        <v>55000000</v>
      </c>
      <c r="L35" s="14">
        <v>44318</v>
      </c>
      <c r="M35" s="1">
        <v>4</v>
      </c>
      <c r="N35" s="1">
        <f t="shared" si="0"/>
        <v>191323041.69732946</v>
      </c>
      <c r="O35" s="15">
        <f t="shared" si="1"/>
        <v>931274.57977698767</v>
      </c>
      <c r="P35" s="1">
        <f t="shared" si="2"/>
        <v>3851796.6104307994</v>
      </c>
      <c r="Q35" s="1">
        <f t="shared" si="3"/>
        <v>2920522.030653812</v>
      </c>
      <c r="R35" s="1">
        <f t="shared" si="4"/>
        <v>188402519.66667566</v>
      </c>
    </row>
    <row r="36" spans="2:18" x14ac:dyDescent="0.3">
      <c r="B36" s="35"/>
      <c r="C36" s="40"/>
      <c r="D36" s="40"/>
      <c r="E36" s="35"/>
      <c r="F36" s="35"/>
      <c r="G36" s="38" t="s">
        <v>72</v>
      </c>
      <c r="H36" s="28">
        <f>+E97</f>
        <v>55000000</v>
      </c>
      <c r="L36" s="14">
        <v>44349</v>
      </c>
      <c r="M36" s="1">
        <v>5</v>
      </c>
      <c r="N36" s="1">
        <f t="shared" si="0"/>
        <v>188402519.66667566</v>
      </c>
      <c r="O36" s="15">
        <f t="shared" si="1"/>
        <v>917058.79111558187</v>
      </c>
      <c r="P36" s="1">
        <f t="shared" si="2"/>
        <v>3851796.6104307994</v>
      </c>
      <c r="Q36" s="1">
        <f t="shared" si="3"/>
        <v>2934737.8193152174</v>
      </c>
      <c r="R36" s="1">
        <f t="shared" si="4"/>
        <v>185467781.84736043</v>
      </c>
    </row>
    <row r="37" spans="2:18" x14ac:dyDescent="0.3">
      <c r="B37" s="33">
        <f>+B31</f>
        <v>44227</v>
      </c>
      <c r="C37" s="4" t="s">
        <v>79</v>
      </c>
      <c r="D37" s="4"/>
      <c r="E37" s="34">
        <f>+F33</f>
        <v>2175000</v>
      </c>
      <c r="F37" s="34"/>
      <c r="G37" s="38" t="s">
        <v>73</v>
      </c>
      <c r="H37" s="28">
        <f>+E121</f>
        <v>10742279.238931663</v>
      </c>
      <c r="L37" s="14">
        <v>44379</v>
      </c>
      <c r="M37" s="1">
        <v>6</v>
      </c>
      <c r="N37" s="1">
        <f t="shared" si="0"/>
        <v>185467781.84736043</v>
      </c>
      <c r="O37" s="15">
        <f t="shared" si="1"/>
        <v>902773.80638404039</v>
      </c>
      <c r="P37" s="1">
        <f t="shared" si="2"/>
        <v>3851796.6104307994</v>
      </c>
      <c r="Q37" s="1">
        <f t="shared" si="3"/>
        <v>2949022.8040467589</v>
      </c>
      <c r="R37" s="1">
        <f t="shared" si="4"/>
        <v>182518759.04331368</v>
      </c>
    </row>
    <row r="38" spans="2:18" x14ac:dyDescent="0.3">
      <c r="B38" s="34"/>
      <c r="C38" s="4"/>
      <c r="D38" s="4" t="s">
        <v>80</v>
      </c>
      <c r="E38" s="34"/>
      <c r="F38" s="34">
        <f>+E37</f>
        <v>2175000</v>
      </c>
      <c r="G38" s="38" t="s">
        <v>74</v>
      </c>
      <c r="H38" s="28"/>
      <c r="L38" s="14">
        <v>44410</v>
      </c>
      <c r="M38" s="1">
        <v>7</v>
      </c>
      <c r="N38" s="1">
        <f t="shared" si="0"/>
        <v>182518759.04331368</v>
      </c>
      <c r="O38" s="15">
        <f t="shared" si="1"/>
        <v>888419.28876699309</v>
      </c>
      <c r="P38" s="1">
        <f t="shared" si="2"/>
        <v>3851796.6104307994</v>
      </c>
      <c r="Q38" s="1">
        <f t="shared" si="3"/>
        <v>2963377.3216638062</v>
      </c>
      <c r="R38" s="1">
        <f t="shared" si="4"/>
        <v>179555381.72164989</v>
      </c>
    </row>
    <row r="39" spans="2:18" x14ac:dyDescent="0.3">
      <c r="B39" s="34"/>
      <c r="C39" s="4" t="s">
        <v>81</v>
      </c>
      <c r="D39" s="4"/>
      <c r="E39" s="34"/>
      <c r="F39" s="34"/>
      <c r="G39" s="38" t="s">
        <v>75</v>
      </c>
      <c r="H39" s="28"/>
      <c r="L39" s="14">
        <v>44441</v>
      </c>
      <c r="M39" s="1">
        <v>8</v>
      </c>
      <c r="N39" s="1">
        <f t="shared" si="0"/>
        <v>179555381.72164989</v>
      </c>
      <c r="O39" s="15">
        <f t="shared" si="1"/>
        <v>873994.89980960381</v>
      </c>
      <c r="P39" s="1">
        <f t="shared" si="2"/>
        <v>3851796.6104307994</v>
      </c>
      <c r="Q39" s="1">
        <f t="shared" si="3"/>
        <v>2977801.7106211958</v>
      </c>
      <c r="R39" s="1">
        <f t="shared" si="4"/>
        <v>176577580.01102868</v>
      </c>
    </row>
    <row r="40" spans="2:18" x14ac:dyDescent="0.3">
      <c r="B40" s="34"/>
      <c r="C40" s="4" t="s">
        <v>82</v>
      </c>
      <c r="D40" s="4"/>
      <c r="E40" s="34"/>
      <c r="F40" s="34"/>
      <c r="G40" s="38" t="s">
        <v>76</v>
      </c>
      <c r="H40" s="24"/>
      <c r="I40" s="13"/>
      <c r="L40" s="14">
        <v>44471</v>
      </c>
      <c r="M40" s="1">
        <v>9</v>
      </c>
      <c r="N40" s="1">
        <f t="shared" si="0"/>
        <v>176577580.01102868</v>
      </c>
      <c r="O40" s="15">
        <f t="shared" si="1"/>
        <v>859500.29940958996</v>
      </c>
      <c r="P40" s="1">
        <f t="shared" si="2"/>
        <v>3851796.6104307994</v>
      </c>
      <c r="Q40" s="1">
        <f t="shared" si="3"/>
        <v>2992296.3110212097</v>
      </c>
      <c r="R40" s="1">
        <f t="shared" si="4"/>
        <v>173585283.70000747</v>
      </c>
    </row>
    <row r="41" spans="2:18" x14ac:dyDescent="0.3">
      <c r="B41" s="35"/>
      <c r="C41" s="40"/>
      <c r="D41" s="40"/>
      <c r="E41" s="35"/>
      <c r="F41" s="35"/>
      <c r="G41" s="39">
        <f>2175000/0.87</f>
        <v>2500000</v>
      </c>
      <c r="H41" s="28">
        <f>SUM(H33:H40)</f>
        <v>178242279.23893166</v>
      </c>
      <c r="L41" s="14">
        <v>44502</v>
      </c>
      <c r="M41" s="1">
        <v>10</v>
      </c>
      <c r="N41" s="1">
        <f t="shared" si="0"/>
        <v>173585283.70000747</v>
      </c>
      <c r="O41" s="15">
        <f t="shared" si="1"/>
        <v>844935.14580920478</v>
      </c>
      <c r="P41" s="1">
        <f t="shared" si="2"/>
        <v>3851796.6104307994</v>
      </c>
      <c r="Q41" s="1">
        <f t="shared" si="3"/>
        <v>3006861.4646215946</v>
      </c>
      <c r="R41" s="1">
        <f t="shared" si="4"/>
        <v>170578422.23538586</v>
      </c>
    </row>
    <row r="42" spans="2:18" x14ac:dyDescent="0.3">
      <c r="B42" s="33">
        <v>44229</v>
      </c>
      <c r="C42" s="4" t="s">
        <v>86</v>
      </c>
      <c r="D42" s="4"/>
      <c r="E42" s="34">
        <f>+O32</f>
        <v>973510.11306860973</v>
      </c>
      <c r="F42" s="34"/>
      <c r="L42" s="14">
        <v>44532</v>
      </c>
      <c r="M42" s="1">
        <v>11</v>
      </c>
      <c r="N42" s="1">
        <f t="shared" si="0"/>
        <v>170578422.23538586</v>
      </c>
      <c r="O42" s="15">
        <f t="shared" si="1"/>
        <v>830299.09558717767</v>
      </c>
      <c r="P42" s="1">
        <f t="shared" si="2"/>
        <v>3851796.6104307994</v>
      </c>
      <c r="Q42" s="1">
        <f t="shared" si="3"/>
        <v>3021497.5148436218</v>
      </c>
      <c r="R42" s="1">
        <f t="shared" si="4"/>
        <v>167556924.72054225</v>
      </c>
    </row>
    <row r="43" spans="2:18" x14ac:dyDescent="0.3">
      <c r="B43" s="34"/>
      <c r="C43" s="4" t="s">
        <v>84</v>
      </c>
      <c r="D43" s="4"/>
      <c r="E43" s="34">
        <f>+Q32</f>
        <v>2878286.4973621899</v>
      </c>
      <c r="F43" s="34"/>
      <c r="L43" s="14">
        <v>44563</v>
      </c>
      <c r="M43" s="1">
        <v>12</v>
      </c>
      <c r="N43" s="1">
        <f t="shared" si="0"/>
        <v>167556924.72054225</v>
      </c>
      <c r="O43" s="15">
        <f t="shared" si="1"/>
        <v>815591.80365061807</v>
      </c>
      <c r="P43" s="1">
        <f t="shared" si="2"/>
        <v>3851796.6104307994</v>
      </c>
      <c r="Q43" s="1">
        <f t="shared" si="3"/>
        <v>3036204.8067801814</v>
      </c>
      <c r="R43" s="1">
        <f t="shared" si="4"/>
        <v>164520719.91376206</v>
      </c>
    </row>
    <row r="44" spans="2:18" x14ac:dyDescent="0.3">
      <c r="B44" s="34"/>
      <c r="C44" s="4"/>
      <c r="D44" s="4" t="s">
        <v>80</v>
      </c>
      <c r="E44" s="34"/>
      <c r="F44" s="34">
        <f>+E42+E43</f>
        <v>3851796.6104307994</v>
      </c>
      <c r="L44" s="14">
        <v>44594</v>
      </c>
      <c r="M44" s="1">
        <v>13</v>
      </c>
      <c r="N44" s="1">
        <f t="shared" si="0"/>
        <v>164520719.91376206</v>
      </c>
      <c r="O44" s="15">
        <f t="shared" si="1"/>
        <v>800812.92322687781</v>
      </c>
      <c r="P44" s="1">
        <f t="shared" si="2"/>
        <v>3851796.6104307994</v>
      </c>
      <c r="Q44" s="1">
        <f t="shared" si="3"/>
        <v>3050983.6872039214</v>
      </c>
      <c r="R44" s="1">
        <f t="shared" si="4"/>
        <v>161469736.22655815</v>
      </c>
    </row>
    <row r="45" spans="2:18" x14ac:dyDescent="0.3">
      <c r="B45" s="34"/>
      <c r="C45" s="4" t="s">
        <v>87</v>
      </c>
      <c r="D45" s="4"/>
      <c r="E45" s="34"/>
      <c r="F45" s="34"/>
      <c r="K45" s="26" t="s">
        <v>41</v>
      </c>
      <c r="L45" s="14">
        <v>44622</v>
      </c>
      <c r="M45" s="1">
        <v>14</v>
      </c>
      <c r="N45" s="1">
        <f t="shared" si="0"/>
        <v>161469736.22655815</v>
      </c>
      <c r="O45" s="15">
        <f t="shared" si="1"/>
        <v>785962.10585537599</v>
      </c>
      <c r="P45" s="1">
        <f t="shared" si="2"/>
        <v>3851796.6104307994</v>
      </c>
      <c r="Q45" s="1">
        <f t="shared" si="3"/>
        <v>3065834.5045754234</v>
      </c>
      <c r="R45" s="1">
        <f t="shared" si="4"/>
        <v>158403901.72198272</v>
      </c>
    </row>
    <row r="46" spans="2:18" x14ac:dyDescent="0.3">
      <c r="B46" s="35"/>
      <c r="C46" s="40"/>
      <c r="D46" s="40"/>
      <c r="E46" s="35"/>
      <c r="F46" s="35"/>
      <c r="M46" s="1">
        <v>15</v>
      </c>
      <c r="N46" s="1">
        <f t="shared" si="0"/>
        <v>158403901.72198272</v>
      </c>
      <c r="O46" s="1">
        <f t="shared" si="1"/>
        <v>771039.00137938163</v>
      </c>
      <c r="P46" s="1">
        <f t="shared" si="2"/>
        <v>3851796.6104307994</v>
      </c>
      <c r="Q46" s="1">
        <f t="shared" si="3"/>
        <v>3080757.6090514176</v>
      </c>
      <c r="R46" s="1">
        <f t="shared" si="4"/>
        <v>155323144.11293131</v>
      </c>
    </row>
    <row r="47" spans="2:18" x14ac:dyDescent="0.3">
      <c r="B47" s="33">
        <f>+B42</f>
        <v>44229</v>
      </c>
      <c r="C47" s="4" t="s">
        <v>42</v>
      </c>
      <c r="D47" s="4"/>
      <c r="E47" s="34">
        <v>55000000</v>
      </c>
      <c r="F47" s="34"/>
      <c r="H47" s="54" t="s">
        <v>44</v>
      </c>
      <c r="I47" s="54"/>
      <c r="M47" s="1">
        <v>16</v>
      </c>
      <c r="N47" s="1">
        <f t="shared" si="0"/>
        <v>155323144.11293131</v>
      </c>
      <c r="O47" s="1">
        <f t="shared" si="1"/>
        <v>756043.25793775858</v>
      </c>
      <c r="P47" s="1">
        <f t="shared" si="2"/>
        <v>3851796.6104307994</v>
      </c>
      <c r="Q47" s="1">
        <f t="shared" si="3"/>
        <v>3095753.3524930407</v>
      </c>
      <c r="R47" s="1">
        <f t="shared" si="4"/>
        <v>152227390.76043826</v>
      </c>
    </row>
    <row r="48" spans="2:18" x14ac:dyDescent="0.3">
      <c r="B48" s="34"/>
      <c r="C48" s="4" t="s">
        <v>88</v>
      </c>
      <c r="D48" s="4"/>
      <c r="E48" s="34">
        <f>+E47*0.19</f>
        <v>10450000</v>
      </c>
      <c r="F48" s="34"/>
      <c r="H48" s="27"/>
      <c r="M48" s="1">
        <v>17</v>
      </c>
      <c r="N48" s="1">
        <f t="shared" si="0"/>
        <v>152227390.76043826</v>
      </c>
      <c r="O48" s="1">
        <f t="shared" si="1"/>
        <v>740974.52195666847</v>
      </c>
      <c r="P48" s="1">
        <f t="shared" si="2"/>
        <v>3851796.6104307994</v>
      </c>
      <c r="Q48" s="1">
        <f t="shared" si="3"/>
        <v>3110822.0884741312</v>
      </c>
      <c r="R48" s="1">
        <f t="shared" si="4"/>
        <v>149116568.67196414</v>
      </c>
    </row>
    <row r="49" spans="2:18" x14ac:dyDescent="0.3">
      <c r="B49" s="34"/>
      <c r="C49" s="4"/>
      <c r="D49" s="4" t="s">
        <v>89</v>
      </c>
      <c r="E49" s="34"/>
      <c r="F49" s="34">
        <f>+E47+E48</f>
        <v>65450000</v>
      </c>
      <c r="H49" s="28"/>
      <c r="M49" s="1">
        <v>18</v>
      </c>
      <c r="N49" s="1">
        <f t="shared" si="0"/>
        <v>149116568.67196414</v>
      </c>
      <c r="O49" s="1">
        <f t="shared" si="1"/>
        <v>725832.43814123457</v>
      </c>
      <c r="P49" s="1">
        <f t="shared" si="2"/>
        <v>3851796.6104307994</v>
      </c>
      <c r="Q49" s="1">
        <f t="shared" si="3"/>
        <v>3125964.1722895647</v>
      </c>
      <c r="R49" s="1">
        <f t="shared" si="4"/>
        <v>145990604.49967459</v>
      </c>
    </row>
    <row r="50" spans="2:18" x14ac:dyDescent="0.3">
      <c r="B50" s="34"/>
      <c r="C50" s="4" t="s">
        <v>90</v>
      </c>
      <c r="D50" s="4"/>
      <c r="E50" s="34"/>
      <c r="F50" s="34"/>
      <c r="H50" s="28"/>
      <c r="M50" s="1">
        <v>19</v>
      </c>
      <c r="N50" s="1">
        <f t="shared" si="0"/>
        <v>145990604.49967459</v>
      </c>
      <c r="O50" s="1">
        <f t="shared" si="1"/>
        <v>710616.64946716442</v>
      </c>
      <c r="P50" s="1">
        <f t="shared" si="2"/>
        <v>3851796.6104307994</v>
      </c>
      <c r="Q50" s="1">
        <f t="shared" si="3"/>
        <v>3141179.9609636348</v>
      </c>
      <c r="R50" s="1">
        <f t="shared" si="4"/>
        <v>142849424.53871095</v>
      </c>
    </row>
    <row r="51" spans="2:18" x14ac:dyDescent="0.3">
      <c r="B51" s="35"/>
      <c r="C51" s="40"/>
      <c r="D51" s="40"/>
      <c r="E51" s="35"/>
      <c r="F51" s="35"/>
      <c r="H51" s="28"/>
      <c r="M51" s="1">
        <v>20</v>
      </c>
      <c r="N51" s="1">
        <f t="shared" si="0"/>
        <v>142849424.53871095</v>
      </c>
      <c r="O51" s="1">
        <f t="shared" si="1"/>
        <v>695326.7971723316</v>
      </c>
      <c r="P51" s="1">
        <f t="shared" si="2"/>
        <v>3851796.6104307994</v>
      </c>
      <c r="Q51" s="1">
        <f t="shared" si="3"/>
        <v>3156469.8132584677</v>
      </c>
      <c r="R51" s="1">
        <f t="shared" si="4"/>
        <v>139692954.72545248</v>
      </c>
    </row>
    <row r="52" spans="2:18" x14ac:dyDescent="0.3">
      <c r="B52" s="33">
        <v>44257</v>
      </c>
      <c r="C52" s="4" t="s">
        <v>86</v>
      </c>
      <c r="D52" s="4"/>
      <c r="E52" s="34">
        <f>+O33</f>
        <v>959499.90800115501</v>
      </c>
      <c r="F52" s="34"/>
      <c r="H52" s="28"/>
      <c r="M52" s="1">
        <v>21</v>
      </c>
      <c r="N52" s="1">
        <f t="shared" si="0"/>
        <v>139692954.72545248</v>
      </c>
      <c r="O52" s="1">
        <f t="shared" si="1"/>
        <v>679962.52074831713</v>
      </c>
      <c r="P52" s="1">
        <f t="shared" si="2"/>
        <v>3851796.6104307994</v>
      </c>
      <c r="Q52" s="1">
        <f t="shared" si="3"/>
        <v>3171834.0896824822</v>
      </c>
      <c r="R52" s="1">
        <f t="shared" si="4"/>
        <v>136521120.63576999</v>
      </c>
    </row>
    <row r="53" spans="2:18" x14ac:dyDescent="0.3">
      <c r="B53" s="34"/>
      <c r="C53" s="4" t="s">
        <v>84</v>
      </c>
      <c r="D53" s="4"/>
      <c r="E53" s="34">
        <f>+Q33</f>
        <v>2892296.7024296443</v>
      </c>
      <c r="F53" s="34"/>
      <c r="H53" s="28"/>
      <c r="M53" s="1">
        <v>22</v>
      </c>
      <c r="N53" s="1">
        <f t="shared" si="0"/>
        <v>136521120.63576999</v>
      </c>
      <c r="O53" s="1">
        <f t="shared" si="1"/>
        <v>664523.45793190878</v>
      </c>
      <c r="P53" s="1">
        <f t="shared" si="2"/>
        <v>3851796.6104307994</v>
      </c>
      <c r="Q53" s="1">
        <f t="shared" si="3"/>
        <v>3187273.1524988906</v>
      </c>
      <c r="R53" s="1">
        <f t="shared" si="4"/>
        <v>133333847.48327111</v>
      </c>
    </row>
    <row r="54" spans="2:18" x14ac:dyDescent="0.3">
      <c r="B54" s="34"/>
      <c r="C54" s="4"/>
      <c r="D54" s="4" t="s">
        <v>80</v>
      </c>
      <c r="E54" s="34"/>
      <c r="F54" s="34">
        <f>+E52+E53</f>
        <v>3851796.6104307994</v>
      </c>
      <c r="H54" s="28"/>
      <c r="M54" s="1">
        <v>23</v>
      </c>
      <c r="N54" s="1">
        <f t="shared" si="0"/>
        <v>133333847.48327111</v>
      </c>
      <c r="O54" s="1">
        <f t="shared" si="1"/>
        <v>649009.24469656008</v>
      </c>
      <c r="P54" s="1">
        <f t="shared" si="2"/>
        <v>3851796.6104307994</v>
      </c>
      <c r="Q54" s="1">
        <f t="shared" si="3"/>
        <v>3202787.3657342391</v>
      </c>
      <c r="R54" s="1">
        <f t="shared" si="4"/>
        <v>130131060.11753687</v>
      </c>
    </row>
    <row r="55" spans="2:18" x14ac:dyDescent="0.3">
      <c r="B55" s="34"/>
      <c r="C55" s="4" t="s">
        <v>91</v>
      </c>
      <c r="D55" s="4"/>
      <c r="E55" s="34"/>
      <c r="F55" s="34"/>
      <c r="H55" s="28"/>
      <c r="M55" s="1">
        <v>24</v>
      </c>
      <c r="N55" s="1">
        <f t="shared" si="0"/>
        <v>130131060.11753687</v>
      </c>
      <c r="O55" s="1">
        <f t="shared" si="1"/>
        <v>633419.51524380688</v>
      </c>
      <c r="P55" s="1">
        <f t="shared" si="2"/>
        <v>3851796.6104307994</v>
      </c>
      <c r="Q55" s="1">
        <f t="shared" si="3"/>
        <v>3218377.0951869925</v>
      </c>
      <c r="R55" s="1">
        <f t="shared" si="4"/>
        <v>126912683.02234988</v>
      </c>
    </row>
    <row r="56" spans="2:18" x14ac:dyDescent="0.3">
      <c r="B56" s="35"/>
      <c r="C56" s="40"/>
      <c r="D56" s="40"/>
      <c r="E56" s="35"/>
      <c r="F56" s="35"/>
      <c r="H56" s="28"/>
      <c r="M56" s="1">
        <v>25</v>
      </c>
      <c r="N56" s="1">
        <f t="shared" si="0"/>
        <v>126912683.02234988</v>
      </c>
      <c r="O56" s="1">
        <f t="shared" si="1"/>
        <v>617753.90199464222</v>
      </c>
      <c r="P56" s="1">
        <f t="shared" si="2"/>
        <v>3851796.6104307994</v>
      </c>
      <c r="Q56" s="1">
        <f t="shared" si="3"/>
        <v>3234042.7084361571</v>
      </c>
      <c r="R56" s="1">
        <f t="shared" si="4"/>
        <v>123678640.31391372</v>
      </c>
    </row>
    <row r="57" spans="2:18" x14ac:dyDescent="0.3">
      <c r="B57" s="33">
        <v>44288</v>
      </c>
      <c r="C57" s="4" t="s">
        <v>86</v>
      </c>
      <c r="D57" s="4"/>
      <c r="E57" s="34">
        <f>+O34</f>
        <v>945421.50755210372</v>
      </c>
      <c r="F57" s="34"/>
      <c r="M57" s="1">
        <v>26</v>
      </c>
      <c r="N57" s="1">
        <f t="shared" si="0"/>
        <v>123678640.31391372</v>
      </c>
      <c r="O57" s="1">
        <f t="shared" si="1"/>
        <v>602012.03558085021</v>
      </c>
      <c r="P57" s="1">
        <f t="shared" si="2"/>
        <v>3851796.6104307994</v>
      </c>
      <c r="Q57" s="1">
        <f t="shared" si="3"/>
        <v>3249784.5748499492</v>
      </c>
      <c r="R57" s="1">
        <f t="shared" si="4"/>
        <v>120428855.73906377</v>
      </c>
    </row>
    <row r="58" spans="2:18" x14ac:dyDescent="0.3">
      <c r="B58" s="34"/>
      <c r="C58" s="4" t="s">
        <v>84</v>
      </c>
      <c r="D58" s="4"/>
      <c r="E58" s="34">
        <f>+Q34</f>
        <v>2906375.1028786958</v>
      </c>
      <c r="F58" s="34"/>
      <c r="M58" s="1">
        <v>27</v>
      </c>
      <c r="N58" s="1">
        <f t="shared" si="0"/>
        <v>120428855.73906377</v>
      </c>
      <c r="O58" s="1">
        <f t="shared" si="1"/>
        <v>586193.54483629623</v>
      </c>
      <c r="P58" s="1">
        <f t="shared" si="2"/>
        <v>3851796.6104307994</v>
      </c>
      <c r="Q58" s="1">
        <f t="shared" si="3"/>
        <v>3265603.0655945032</v>
      </c>
      <c r="R58" s="1">
        <f t="shared" si="4"/>
        <v>117163252.67346926</v>
      </c>
    </row>
    <row r="59" spans="2:18" x14ac:dyDescent="0.3">
      <c r="B59" s="34"/>
      <c r="C59" s="4"/>
      <c r="D59" s="4" t="s">
        <v>80</v>
      </c>
      <c r="E59" s="34"/>
      <c r="F59" s="34">
        <f>+E57+E58</f>
        <v>3851796.6104307994</v>
      </c>
      <c r="H59" s="54" t="s">
        <v>83</v>
      </c>
      <c r="I59" s="54"/>
      <c r="M59" s="1">
        <v>28</v>
      </c>
      <c r="N59" s="1">
        <f t="shared" si="0"/>
        <v>117163252.67346926</v>
      </c>
      <c r="O59" s="1">
        <f t="shared" si="1"/>
        <v>570298.05678817572</v>
      </c>
      <c r="P59" s="1">
        <f t="shared" si="2"/>
        <v>3851796.6104307994</v>
      </c>
      <c r="Q59" s="1">
        <f t="shared" si="3"/>
        <v>3281498.5536426236</v>
      </c>
      <c r="R59" s="1">
        <f t="shared" si="4"/>
        <v>113881754.11982663</v>
      </c>
    </row>
    <row r="60" spans="2:18" x14ac:dyDescent="0.3">
      <c r="B60" s="34"/>
      <c r="C60" s="4" t="s">
        <v>92</v>
      </c>
      <c r="D60" s="4"/>
      <c r="E60" s="34"/>
      <c r="F60" s="34"/>
      <c r="H60" s="27">
        <f>+E43</f>
        <v>2878286.4973621899</v>
      </c>
      <c r="I60" s="1">
        <f>+F27</f>
        <v>32443075.279457744</v>
      </c>
      <c r="M60" s="1">
        <v>29</v>
      </c>
      <c r="N60" s="1">
        <f t="shared" si="0"/>
        <v>113881754.11982663</v>
      </c>
      <c r="O60" s="1">
        <f t="shared" si="1"/>
        <v>554325.19664822018</v>
      </c>
      <c r="P60" s="1">
        <f t="shared" si="2"/>
        <v>3851796.6104307994</v>
      </c>
      <c r="Q60" s="1">
        <f t="shared" si="3"/>
        <v>3297471.4137825794</v>
      </c>
      <c r="R60" s="1">
        <f t="shared" si="4"/>
        <v>110584282.70604405</v>
      </c>
    </row>
    <row r="61" spans="2:18" x14ac:dyDescent="0.3">
      <c r="B61" s="35"/>
      <c r="C61" s="40"/>
      <c r="D61" s="40"/>
      <c r="E61" s="35"/>
      <c r="F61" s="35"/>
      <c r="H61" s="28">
        <f>+E53</f>
        <v>2892296.7024296443</v>
      </c>
      <c r="M61" s="1">
        <v>30</v>
      </c>
      <c r="N61" s="1">
        <f t="shared" si="0"/>
        <v>110584282.70604405</v>
      </c>
      <c r="O61" s="1">
        <f t="shared" si="1"/>
        <v>538274.58780386019</v>
      </c>
      <c r="P61" s="1">
        <f t="shared" si="2"/>
        <v>3851796.6104307994</v>
      </c>
      <c r="Q61" s="1">
        <f t="shared" si="3"/>
        <v>3313522.0226269392</v>
      </c>
      <c r="R61" s="1">
        <f t="shared" si="4"/>
        <v>107270760.68341711</v>
      </c>
    </row>
    <row r="62" spans="2:18" x14ac:dyDescent="0.3">
      <c r="B62" s="33">
        <v>44318</v>
      </c>
      <c r="C62" s="4" t="s">
        <v>86</v>
      </c>
      <c r="D62" s="4"/>
      <c r="E62" s="34">
        <f>+O35</f>
        <v>931274.57977698767</v>
      </c>
      <c r="F62" s="34"/>
      <c r="H62" s="28">
        <f>+E58</f>
        <v>2906375.1028786958</v>
      </c>
      <c r="M62" s="1">
        <v>31</v>
      </c>
      <c r="N62" s="1">
        <f t="shared" si="0"/>
        <v>107270760.68341711</v>
      </c>
      <c r="O62" s="1">
        <f t="shared" si="1"/>
        <v>522145.85180934583</v>
      </c>
      <c r="P62" s="1">
        <f t="shared" si="2"/>
        <v>3851796.6104307994</v>
      </c>
      <c r="Q62" s="1">
        <f t="shared" si="3"/>
        <v>3329650.7586214538</v>
      </c>
      <c r="R62" s="1">
        <f t="shared" si="4"/>
        <v>103941109.92479566</v>
      </c>
    </row>
    <row r="63" spans="2:18" x14ac:dyDescent="0.3">
      <c r="B63" s="34"/>
      <c r="C63" s="4" t="s">
        <v>84</v>
      </c>
      <c r="D63" s="4"/>
      <c r="E63" s="34">
        <f>+Q35</f>
        <v>2920522.030653812</v>
      </c>
      <c r="F63" s="34"/>
      <c r="H63" s="28">
        <f>+E63</f>
        <v>2920522.030653812</v>
      </c>
      <c r="M63" s="1">
        <v>32</v>
      </c>
      <c r="N63" s="1">
        <f t="shared" si="0"/>
        <v>103941109.92479566</v>
      </c>
      <c r="O63" s="1">
        <f t="shared" si="1"/>
        <v>505938.60837682302</v>
      </c>
      <c r="P63" s="1">
        <f t="shared" si="2"/>
        <v>3851796.6104307994</v>
      </c>
      <c r="Q63" s="1">
        <f t="shared" si="3"/>
        <v>3345858.0020539765</v>
      </c>
      <c r="R63" s="1">
        <f t="shared" si="4"/>
        <v>100595251.92274168</v>
      </c>
    </row>
    <row r="64" spans="2:18" x14ac:dyDescent="0.3">
      <c r="B64" s="34"/>
      <c r="C64" s="4"/>
      <c r="D64" s="4" t="s">
        <v>80</v>
      </c>
      <c r="E64" s="34"/>
      <c r="F64" s="34">
        <f>+E62+E63</f>
        <v>3851796.6104307994</v>
      </c>
      <c r="H64" s="28">
        <f>+E68</f>
        <v>2934737.8193152174</v>
      </c>
      <c r="M64" s="1">
        <v>33</v>
      </c>
      <c r="N64" s="1">
        <f t="shared" si="0"/>
        <v>100595251.92274168</v>
      </c>
      <c r="O64" s="1">
        <f t="shared" si="1"/>
        <v>489652.47536736768</v>
      </c>
      <c r="P64" s="1">
        <f t="shared" si="2"/>
        <v>3851796.6104307994</v>
      </c>
      <c r="Q64" s="1">
        <f t="shared" si="3"/>
        <v>3362144.1350634317</v>
      </c>
      <c r="R64" s="1">
        <f t="shared" si="4"/>
        <v>97233107.787678257</v>
      </c>
    </row>
    <row r="65" spans="2:18" x14ac:dyDescent="0.3">
      <c r="B65" s="34"/>
      <c r="C65" s="4" t="s">
        <v>93</v>
      </c>
      <c r="D65" s="4"/>
      <c r="E65" s="34"/>
      <c r="F65" s="34"/>
      <c r="H65" s="28">
        <f>+E78</f>
        <v>2949022.8040467589</v>
      </c>
      <c r="M65" s="1">
        <v>34</v>
      </c>
      <c r="N65" s="1">
        <f t="shared" si="0"/>
        <v>97233107.787678257</v>
      </c>
      <c r="O65" s="1">
        <f t="shared" si="1"/>
        <v>473287.06878197484</v>
      </c>
      <c r="P65" s="1">
        <f t="shared" si="2"/>
        <v>3851796.6104307994</v>
      </c>
      <c r="Q65" s="1">
        <f t="shared" si="3"/>
        <v>3378509.5416488247</v>
      </c>
      <c r="R65" s="1">
        <f t="shared" si="4"/>
        <v>93854598.246029437</v>
      </c>
    </row>
    <row r="66" spans="2:18" x14ac:dyDescent="0.3">
      <c r="B66" s="35"/>
      <c r="C66" s="40"/>
      <c r="D66" s="40"/>
      <c r="E66" s="35"/>
      <c r="F66" s="35"/>
      <c r="H66" s="28">
        <f>+E83</f>
        <v>2963377.3216638062</v>
      </c>
      <c r="M66" s="1">
        <v>35</v>
      </c>
      <c r="N66" s="1">
        <f t="shared" si="0"/>
        <v>93854598.246029437</v>
      </c>
      <c r="O66" s="1">
        <f t="shared" si="1"/>
        <v>456842.00275250524</v>
      </c>
      <c r="P66" s="1">
        <f t="shared" si="2"/>
        <v>3851796.6104307994</v>
      </c>
      <c r="Q66" s="1">
        <f t="shared" si="3"/>
        <v>3394954.6076782942</v>
      </c>
      <c r="R66" s="1">
        <f t="shared" si="4"/>
        <v>90459643.638351142</v>
      </c>
    </row>
    <row r="67" spans="2:18" x14ac:dyDescent="0.3">
      <c r="B67" s="33">
        <v>44349</v>
      </c>
      <c r="C67" s="4" t="s">
        <v>86</v>
      </c>
      <c r="D67" s="4"/>
      <c r="E67" s="34">
        <f>+O36</f>
        <v>917058.79111558187</v>
      </c>
      <c r="F67" s="34"/>
      <c r="H67" s="28">
        <f>+E88</f>
        <v>2977801.7106211958</v>
      </c>
      <c r="M67" s="1">
        <v>36</v>
      </c>
      <c r="N67" s="1">
        <f t="shared" si="0"/>
        <v>90459643.638351142</v>
      </c>
      <c r="O67" s="1">
        <f t="shared" si="1"/>
        <v>440316.88953258679</v>
      </c>
      <c r="P67" s="1">
        <f t="shared" si="2"/>
        <v>3851796.6104307994</v>
      </c>
      <c r="Q67" s="1">
        <f t="shared" si="3"/>
        <v>3411479.7208982129</v>
      </c>
      <c r="R67" s="1">
        <f t="shared" si="4"/>
        <v>87048163.917452931</v>
      </c>
    </row>
    <row r="68" spans="2:18" x14ac:dyDescent="0.3">
      <c r="B68" s="34"/>
      <c r="C68" s="4" t="s">
        <v>84</v>
      </c>
      <c r="D68" s="4"/>
      <c r="E68" s="34">
        <f>+Q36</f>
        <v>2934737.8193152174</v>
      </c>
      <c r="F68" s="34"/>
      <c r="H68" s="28">
        <f>+E93</f>
        <v>2992296.3110212097</v>
      </c>
      <c r="M68" s="1">
        <v>37</v>
      </c>
      <c r="N68" s="1">
        <f t="shared" ref="N68:N91" si="5">+R67</f>
        <v>87048163.917452931</v>
      </c>
      <c r="O68" s="1">
        <f t="shared" ref="O68:O91" si="6">+N68*$O$31</f>
        <v>423711.33948847238</v>
      </c>
      <c r="P68" s="1">
        <f t="shared" si="2"/>
        <v>3851796.6104307994</v>
      </c>
      <c r="Q68" s="1">
        <f t="shared" ref="Q68:Q91" si="7">+P68-O68</f>
        <v>3428085.2709423271</v>
      </c>
      <c r="R68" s="1">
        <f t="shared" ref="R68:R91" si="8">+N68-Q68</f>
        <v>83620078.646510601</v>
      </c>
    </row>
    <row r="69" spans="2:18" x14ac:dyDescent="0.3">
      <c r="B69" s="34"/>
      <c r="C69" s="4"/>
      <c r="D69" s="4" t="s">
        <v>80</v>
      </c>
      <c r="E69" s="34"/>
      <c r="F69" s="34">
        <f>+E67+E68</f>
        <v>3851796.6104307994</v>
      </c>
      <c r="H69" s="28">
        <f>+E103</f>
        <v>3006861.4646215946</v>
      </c>
      <c r="M69" s="1">
        <v>38</v>
      </c>
      <c r="N69" s="1">
        <f t="shared" si="5"/>
        <v>83620078.646510601</v>
      </c>
      <c r="O69" s="1">
        <f t="shared" si="6"/>
        <v>407024.96108985285</v>
      </c>
      <c r="P69" s="1">
        <f t="shared" si="2"/>
        <v>3851796.6104307994</v>
      </c>
      <c r="Q69" s="1">
        <f t="shared" si="7"/>
        <v>3444771.6493409467</v>
      </c>
      <c r="R69" s="1">
        <f t="shared" si="8"/>
        <v>80175306.997169659</v>
      </c>
    </row>
    <row r="70" spans="2:18" x14ac:dyDescent="0.3">
      <c r="B70" s="34"/>
      <c r="C70" s="4" t="s">
        <v>95</v>
      </c>
      <c r="D70" s="4"/>
      <c r="E70" s="34"/>
      <c r="F70" s="34"/>
      <c r="H70" s="24">
        <f>+E108</f>
        <v>3021497.5148436218</v>
      </c>
      <c r="I70" s="13"/>
      <c r="M70" s="1">
        <v>39</v>
      </c>
      <c r="N70" s="1">
        <f t="shared" si="5"/>
        <v>80175306.997169659</v>
      </c>
      <c r="O70" s="1">
        <f t="shared" si="6"/>
        <v>390257.36090062564</v>
      </c>
      <c r="P70" s="1">
        <f t="shared" si="2"/>
        <v>3851796.6104307994</v>
      </c>
      <c r="Q70" s="1">
        <f t="shared" si="7"/>
        <v>3461539.2495301738</v>
      </c>
      <c r="R70" s="1">
        <f t="shared" si="8"/>
        <v>76713767.747639477</v>
      </c>
    </row>
    <row r="71" spans="2:18" x14ac:dyDescent="0.3">
      <c r="B71" s="35"/>
      <c r="C71" s="40"/>
      <c r="D71" s="40"/>
      <c r="E71" s="35"/>
      <c r="F71" s="35"/>
      <c r="H71" s="28">
        <f>SUM(H60:H70)</f>
        <v>32443075.279457744</v>
      </c>
      <c r="I71" s="1">
        <f>SUM(I60:I70)</f>
        <v>32443075.279457744</v>
      </c>
      <c r="M71" s="1">
        <v>40</v>
      </c>
      <c r="N71" s="1">
        <f t="shared" si="5"/>
        <v>76713767.747639477</v>
      </c>
      <c r="O71" s="1">
        <f t="shared" si="6"/>
        <v>373408.14356961782</v>
      </c>
      <c r="P71" s="1">
        <f t="shared" si="2"/>
        <v>3851796.6104307994</v>
      </c>
      <c r="Q71" s="1">
        <f t="shared" si="7"/>
        <v>3478388.4668611814</v>
      </c>
      <c r="R71" s="1">
        <f t="shared" si="8"/>
        <v>73235379.280778289</v>
      </c>
    </row>
    <row r="72" spans="2:18" x14ac:dyDescent="0.3">
      <c r="B72" s="33">
        <v>44349</v>
      </c>
      <c r="C72" s="4" t="s">
        <v>42</v>
      </c>
      <c r="D72" s="4"/>
      <c r="E72" s="34">
        <v>55000000</v>
      </c>
      <c r="F72" s="34"/>
      <c r="H72" s="28"/>
      <c r="I72" s="1">
        <f>+I71-H71</f>
        <v>0</v>
      </c>
      <c r="J72" s="1" t="s">
        <v>103</v>
      </c>
      <c r="M72" s="1">
        <v>41</v>
      </c>
      <c r="N72" s="1">
        <f t="shared" si="5"/>
        <v>73235379.280778289</v>
      </c>
      <c r="O72" s="1">
        <f t="shared" si="6"/>
        <v>356476.91182126495</v>
      </c>
      <c r="P72" s="1">
        <f t="shared" si="2"/>
        <v>3851796.6104307994</v>
      </c>
      <c r="Q72" s="1">
        <f t="shared" si="7"/>
        <v>3495319.6986095347</v>
      </c>
      <c r="R72" s="1">
        <f t="shared" si="8"/>
        <v>69740059.582168758</v>
      </c>
    </row>
    <row r="73" spans="2:18" x14ac:dyDescent="0.3">
      <c r="B73" s="34"/>
      <c r="C73" s="4" t="s">
        <v>88</v>
      </c>
      <c r="D73" s="4"/>
      <c r="E73" s="34">
        <f>+E72*0.19</f>
        <v>10450000</v>
      </c>
      <c r="F73" s="34"/>
      <c r="M73" s="1">
        <v>42</v>
      </c>
      <c r="N73" s="1">
        <f t="shared" si="5"/>
        <v>69740059.582168758</v>
      </c>
      <c r="O73" s="1">
        <f t="shared" si="6"/>
        <v>339463.26644624345</v>
      </c>
      <c r="P73" s="1">
        <f t="shared" si="2"/>
        <v>3851796.6104307994</v>
      </c>
      <c r="Q73" s="1">
        <f t="shared" si="7"/>
        <v>3512333.3439845559</v>
      </c>
      <c r="R73" s="1">
        <f t="shared" si="8"/>
        <v>66227726.238184199</v>
      </c>
    </row>
    <row r="74" spans="2:18" x14ac:dyDescent="0.3">
      <c r="B74" s="34"/>
      <c r="C74" s="4"/>
      <c r="D74" s="4" t="s">
        <v>89</v>
      </c>
      <c r="E74" s="34"/>
      <c r="F74" s="34">
        <f>+E72+E73</f>
        <v>65450000</v>
      </c>
      <c r="M74" s="1">
        <v>43</v>
      </c>
      <c r="N74" s="1">
        <f t="shared" si="5"/>
        <v>66227726.238184199</v>
      </c>
      <c r="O74" s="1">
        <f t="shared" si="6"/>
        <v>322366.80629205814</v>
      </c>
      <c r="P74" s="1">
        <f t="shared" si="2"/>
        <v>3851796.6104307994</v>
      </c>
      <c r="Q74" s="1">
        <f t="shared" si="7"/>
        <v>3529429.8041387415</v>
      </c>
      <c r="R74" s="1">
        <f t="shared" si="8"/>
        <v>62698296.434045456</v>
      </c>
    </row>
    <row r="75" spans="2:18" x14ac:dyDescent="0.3">
      <c r="B75" s="34"/>
      <c r="C75" s="4" t="s">
        <v>96</v>
      </c>
      <c r="D75" s="4"/>
      <c r="E75" s="34"/>
      <c r="F75" s="34"/>
      <c r="H75" s="54" t="s">
        <v>107</v>
      </c>
      <c r="I75" s="54"/>
      <c r="M75" s="1">
        <v>44</v>
      </c>
      <c r="N75" s="1">
        <f t="shared" si="5"/>
        <v>62698296.434045456</v>
      </c>
      <c r="O75" s="1">
        <f t="shared" si="6"/>
        <v>305187.12825358397</v>
      </c>
      <c r="P75" s="1">
        <f t="shared" si="2"/>
        <v>3851796.6104307994</v>
      </c>
      <c r="Q75" s="1">
        <f t="shared" si="7"/>
        <v>3546609.4821772156</v>
      </c>
      <c r="R75" s="1">
        <f t="shared" si="8"/>
        <v>59151686.951868244</v>
      </c>
    </row>
    <row r="76" spans="2:18" x14ac:dyDescent="0.3">
      <c r="B76" s="35"/>
      <c r="C76" s="40"/>
      <c r="D76" s="40"/>
      <c r="E76" s="35"/>
      <c r="F76" s="35"/>
      <c r="H76" s="27">
        <f>+E42</f>
        <v>973510.11306860973</v>
      </c>
      <c r="I76" s="1">
        <f>+F122</f>
        <v>10742279.238931663</v>
      </c>
      <c r="M76" s="1">
        <v>45</v>
      </c>
      <c r="N76" s="1">
        <f t="shared" si="5"/>
        <v>59151686.951868244</v>
      </c>
      <c r="O76" s="1">
        <f t="shared" si="6"/>
        <v>287923.82726356131</v>
      </c>
      <c r="P76" s="1">
        <f t="shared" si="2"/>
        <v>3851796.6104307994</v>
      </c>
      <c r="Q76" s="1">
        <f t="shared" si="7"/>
        <v>3563872.7831672383</v>
      </c>
      <c r="R76" s="1">
        <f t="shared" si="8"/>
        <v>55587814.168701008</v>
      </c>
    </row>
    <row r="77" spans="2:18" x14ac:dyDescent="0.3">
      <c r="B77" s="33">
        <v>44379</v>
      </c>
      <c r="C77" s="4" t="s">
        <v>86</v>
      </c>
      <c r="D77" s="4"/>
      <c r="E77" s="34">
        <f>+O37</f>
        <v>902773.80638404039</v>
      </c>
      <c r="F77" s="34"/>
      <c r="H77" s="28">
        <f>+E52</f>
        <v>959499.90800115501</v>
      </c>
      <c r="M77" s="1">
        <v>46</v>
      </c>
      <c r="N77" s="1">
        <f t="shared" si="5"/>
        <v>55587814.168701008</v>
      </c>
      <c r="O77" s="1">
        <f t="shared" si="6"/>
        <v>270576.49628304492</v>
      </c>
      <c r="P77" s="1">
        <f t="shared" si="2"/>
        <v>3851796.6104307994</v>
      </c>
      <c r="Q77" s="1">
        <f t="shared" si="7"/>
        <v>3581220.1141477544</v>
      </c>
      <c r="R77" s="1">
        <f t="shared" si="8"/>
        <v>52006594.054553255</v>
      </c>
    </row>
    <row r="78" spans="2:18" x14ac:dyDescent="0.3">
      <c r="B78" s="34"/>
      <c r="C78" s="4" t="s">
        <v>84</v>
      </c>
      <c r="D78" s="4"/>
      <c r="E78" s="34">
        <f>+Q37</f>
        <v>2949022.8040467589</v>
      </c>
      <c r="F78" s="34"/>
      <c r="H78" s="28">
        <f>+E57</f>
        <v>945421.50755210372</v>
      </c>
      <c r="M78" s="1">
        <v>47</v>
      </c>
      <c r="N78" s="1">
        <f t="shared" si="5"/>
        <v>52006594.054553255</v>
      </c>
      <c r="O78" s="1">
        <f t="shared" si="6"/>
        <v>253144.72629180711</v>
      </c>
      <c r="P78" s="1">
        <f t="shared" si="2"/>
        <v>3851796.6104307994</v>
      </c>
      <c r="Q78" s="1">
        <f t="shared" si="7"/>
        <v>3598651.8841389925</v>
      </c>
      <c r="R78" s="1">
        <f t="shared" si="8"/>
        <v>48407942.170414262</v>
      </c>
    </row>
    <row r="79" spans="2:18" x14ac:dyDescent="0.3">
      <c r="B79" s="34"/>
      <c r="C79" s="4"/>
      <c r="D79" s="4" t="s">
        <v>80</v>
      </c>
      <c r="E79" s="34"/>
      <c r="F79" s="34">
        <f>+E77+E78</f>
        <v>3851796.6104307994</v>
      </c>
      <c r="H79" s="28">
        <f>+E62</f>
        <v>931274.57977698767</v>
      </c>
      <c r="M79" s="1">
        <v>48</v>
      </c>
      <c r="N79" s="1">
        <f t="shared" si="5"/>
        <v>48407942.170414262</v>
      </c>
      <c r="O79" s="1">
        <f t="shared" si="6"/>
        <v>235628.10627869354</v>
      </c>
      <c r="P79" s="1">
        <f t="shared" si="2"/>
        <v>3851796.6104307994</v>
      </c>
      <c r="Q79" s="1">
        <f t="shared" si="7"/>
        <v>3616168.5041521061</v>
      </c>
      <c r="R79" s="1">
        <f t="shared" si="8"/>
        <v>44791773.666262157</v>
      </c>
    </row>
    <row r="80" spans="2:18" x14ac:dyDescent="0.3">
      <c r="B80" s="34"/>
      <c r="C80" s="4" t="s">
        <v>94</v>
      </c>
      <c r="D80" s="4"/>
      <c r="E80" s="34"/>
      <c r="F80" s="34"/>
      <c r="H80" s="28">
        <f>+E67</f>
        <v>917058.79111558187</v>
      </c>
      <c r="M80" s="1">
        <v>49</v>
      </c>
      <c r="N80" s="1">
        <f t="shared" si="5"/>
        <v>44791773.666262157</v>
      </c>
      <c r="O80" s="1">
        <f t="shared" si="6"/>
        <v>218026.22323193224</v>
      </c>
      <c r="P80" s="1">
        <f t="shared" si="2"/>
        <v>3851796.6104307994</v>
      </c>
      <c r="Q80" s="1">
        <f t="shared" si="7"/>
        <v>3633770.3871988673</v>
      </c>
      <c r="R80" s="1">
        <f t="shared" si="8"/>
        <v>41158003.279063292</v>
      </c>
    </row>
    <row r="81" spans="2:18" x14ac:dyDescent="0.3">
      <c r="B81" s="35"/>
      <c r="C81" s="40"/>
      <c r="D81" s="40"/>
      <c r="E81" s="35"/>
      <c r="F81" s="35"/>
      <c r="H81" s="28">
        <f>+E77</f>
        <v>902773.80638404039</v>
      </c>
      <c r="M81" s="1">
        <v>50</v>
      </c>
      <c r="N81" s="1">
        <f t="shared" si="5"/>
        <v>41158003.279063292</v>
      </c>
      <c r="O81" s="1">
        <f t="shared" si="6"/>
        <v>200338.66212939555</v>
      </c>
      <c r="P81" s="1">
        <f t="shared" si="2"/>
        <v>3851796.6104307994</v>
      </c>
      <c r="Q81" s="1">
        <f t="shared" si="7"/>
        <v>3651457.9483014038</v>
      </c>
      <c r="R81" s="1">
        <f t="shared" si="8"/>
        <v>37506545.330761887</v>
      </c>
    </row>
    <row r="82" spans="2:18" x14ac:dyDescent="0.3">
      <c r="B82" s="33">
        <v>44410</v>
      </c>
      <c r="C82" s="4" t="s">
        <v>86</v>
      </c>
      <c r="D82" s="4"/>
      <c r="E82" s="34">
        <f>+O38</f>
        <v>888419.28876699309</v>
      </c>
      <c r="F82" s="34"/>
      <c r="H82" s="28">
        <f>+E82</f>
        <v>888419.28876699309</v>
      </c>
      <c r="M82" s="1">
        <v>51</v>
      </c>
      <c r="N82" s="1">
        <f t="shared" si="5"/>
        <v>37506545.330761887</v>
      </c>
      <c r="O82" s="1">
        <f t="shared" si="6"/>
        <v>182565.0059288147</v>
      </c>
      <c r="P82" s="1">
        <f t="shared" si="2"/>
        <v>3851796.6104307994</v>
      </c>
      <c r="Q82" s="1">
        <f t="shared" si="7"/>
        <v>3669231.6045019845</v>
      </c>
      <c r="R82" s="1">
        <f t="shared" si="8"/>
        <v>33837313.726259902</v>
      </c>
    </row>
    <row r="83" spans="2:18" x14ac:dyDescent="0.3">
      <c r="B83" s="34"/>
      <c r="C83" s="4" t="s">
        <v>84</v>
      </c>
      <c r="D83" s="4"/>
      <c r="E83" s="34">
        <f>+Q38</f>
        <v>2963377.3216638062</v>
      </c>
      <c r="F83" s="34"/>
      <c r="H83" s="28">
        <f>+E87</f>
        <v>873994.89980960381</v>
      </c>
      <c r="M83" s="1">
        <v>52</v>
      </c>
      <c r="N83" s="1">
        <f t="shared" si="5"/>
        <v>33837313.726259902</v>
      </c>
      <c r="O83" s="1">
        <f t="shared" si="6"/>
        <v>164704.83555794647</v>
      </c>
      <c r="P83" s="1">
        <f t="shared" si="2"/>
        <v>3851796.6104307994</v>
      </c>
      <c r="Q83" s="1">
        <f t="shared" si="7"/>
        <v>3687091.774872853</v>
      </c>
      <c r="R83" s="1">
        <f t="shared" si="8"/>
        <v>30150221.951387048</v>
      </c>
    </row>
    <row r="84" spans="2:18" x14ac:dyDescent="0.3">
      <c r="B84" s="34"/>
      <c r="C84" s="4"/>
      <c r="D84" s="4" t="s">
        <v>80</v>
      </c>
      <c r="E84" s="34"/>
      <c r="F84" s="34">
        <f>+E82+E83</f>
        <v>3851796.6104307994</v>
      </c>
      <c r="H84" s="28">
        <f>+E92</f>
        <v>859500.29940958996</v>
      </c>
      <c r="M84" s="1">
        <v>53</v>
      </c>
      <c r="N84" s="1">
        <f t="shared" si="5"/>
        <v>30150221.951387048</v>
      </c>
      <c r="O84" s="1">
        <f t="shared" si="6"/>
        <v>146757.72990469242</v>
      </c>
      <c r="P84" s="1">
        <f t="shared" si="2"/>
        <v>3851796.6104307994</v>
      </c>
      <c r="Q84" s="1">
        <f t="shared" si="7"/>
        <v>3705038.8805261068</v>
      </c>
      <c r="R84" s="1">
        <f t="shared" si="8"/>
        <v>26445183.070860941</v>
      </c>
    </row>
    <row r="85" spans="2:18" x14ac:dyDescent="0.3">
      <c r="B85" s="34"/>
      <c r="C85" s="4" t="s">
        <v>97</v>
      </c>
      <c r="D85" s="4"/>
      <c r="E85" s="34"/>
      <c r="F85" s="34"/>
      <c r="H85" s="28">
        <f>+E102</f>
        <v>844935.14580920478</v>
      </c>
      <c r="M85" s="1">
        <v>54</v>
      </c>
      <c r="N85" s="1">
        <f t="shared" si="5"/>
        <v>26445183.070860941</v>
      </c>
      <c r="O85" s="1">
        <f t="shared" si="6"/>
        <v>128723.26580716959</v>
      </c>
      <c r="P85" s="1">
        <f t="shared" si="2"/>
        <v>3851796.6104307994</v>
      </c>
      <c r="Q85" s="1">
        <f t="shared" si="7"/>
        <v>3723073.3446236299</v>
      </c>
      <c r="R85" s="1">
        <f t="shared" si="8"/>
        <v>22722109.726237312</v>
      </c>
    </row>
    <row r="86" spans="2:18" x14ac:dyDescent="0.3">
      <c r="B86" s="35"/>
      <c r="C86" s="40"/>
      <c r="D86" s="40"/>
      <c r="E86" s="35"/>
      <c r="F86" s="35"/>
      <c r="H86" s="28">
        <f>+E107</f>
        <v>830299.09558717767</v>
      </c>
      <c r="I86" s="52"/>
      <c r="M86" s="1">
        <v>55</v>
      </c>
      <c r="N86" s="1">
        <f t="shared" si="5"/>
        <v>22722109.726237312</v>
      </c>
      <c r="O86" s="1">
        <f t="shared" si="6"/>
        <v>110601.0180437332</v>
      </c>
      <c r="P86" s="1">
        <f t="shared" si="2"/>
        <v>3851796.6104307994</v>
      </c>
      <c r="Q86" s="1">
        <f t="shared" si="7"/>
        <v>3741195.5923870662</v>
      </c>
      <c r="R86" s="1">
        <f t="shared" si="8"/>
        <v>18980914.133850247</v>
      </c>
    </row>
    <row r="87" spans="2:18" x14ac:dyDescent="0.3">
      <c r="B87" s="33">
        <v>44441</v>
      </c>
      <c r="C87" s="4" t="s">
        <v>86</v>
      </c>
      <c r="D87" s="4"/>
      <c r="E87" s="34">
        <f>+O39</f>
        <v>873994.89980960381</v>
      </c>
      <c r="F87" s="34"/>
      <c r="H87" s="24">
        <f>+E117</f>
        <v>815591.80365061807</v>
      </c>
      <c r="I87" s="13"/>
      <c r="M87" s="1">
        <v>56</v>
      </c>
      <c r="N87" s="1">
        <f t="shared" si="5"/>
        <v>18980914.133850247</v>
      </c>
      <c r="O87" s="1">
        <f t="shared" si="6"/>
        <v>92390.559322950619</v>
      </c>
      <c r="P87" s="1">
        <f t="shared" si="2"/>
        <v>3851796.6104307994</v>
      </c>
      <c r="Q87" s="1">
        <f t="shared" si="7"/>
        <v>3759406.051107849</v>
      </c>
      <c r="R87" s="1">
        <f t="shared" si="8"/>
        <v>15221508.082742397</v>
      </c>
    </row>
    <row r="88" spans="2:18" x14ac:dyDescent="0.3">
      <c r="B88" s="34"/>
      <c r="C88" s="4" t="s">
        <v>84</v>
      </c>
      <c r="D88" s="4"/>
      <c r="E88" s="34">
        <f>+Q39</f>
        <v>2977801.7106211958</v>
      </c>
      <c r="F88" s="34"/>
      <c r="H88" s="28">
        <f>SUM(H76:H87)</f>
        <v>10742279.238931663</v>
      </c>
      <c r="I88" s="1">
        <f>SUM(I76:I87)</f>
        <v>10742279.238931663</v>
      </c>
      <c r="M88" s="1">
        <v>57</v>
      </c>
      <c r="N88" s="1">
        <f t="shared" si="5"/>
        <v>15221508.082742397</v>
      </c>
      <c r="O88" s="1">
        <f t="shared" si="6"/>
        <v>74091.460273526536</v>
      </c>
      <c r="P88" s="1">
        <f t="shared" si="2"/>
        <v>3851796.6104307994</v>
      </c>
      <c r="Q88" s="1">
        <f t="shared" si="7"/>
        <v>3777705.1501572728</v>
      </c>
      <c r="R88" s="1">
        <f t="shared" si="8"/>
        <v>11443802.932585124</v>
      </c>
    </row>
    <row r="89" spans="2:18" x14ac:dyDescent="0.3">
      <c r="B89" s="34"/>
      <c r="C89" s="4"/>
      <c r="D89" s="4" t="s">
        <v>80</v>
      </c>
      <c r="E89" s="34"/>
      <c r="F89" s="34">
        <f>+E87+E88</f>
        <v>3851796.6104307994</v>
      </c>
      <c r="M89" s="1">
        <v>58</v>
      </c>
      <c r="N89" s="1">
        <f t="shared" si="5"/>
        <v>11443802.932585124</v>
      </c>
      <c r="O89" s="1">
        <f t="shared" si="6"/>
        <v>55703.289434179154</v>
      </c>
      <c r="P89" s="1">
        <f t="shared" si="2"/>
        <v>3851796.6104307994</v>
      </c>
      <c r="Q89" s="1">
        <f t="shared" si="7"/>
        <v>3796093.3209966202</v>
      </c>
      <c r="R89" s="1">
        <f t="shared" si="8"/>
        <v>7647709.6115885042</v>
      </c>
    </row>
    <row r="90" spans="2:18" x14ac:dyDescent="0.3">
      <c r="B90" s="34"/>
      <c r="C90" s="4" t="s">
        <v>98</v>
      </c>
      <c r="D90" s="4"/>
      <c r="E90" s="34"/>
      <c r="F90" s="34"/>
      <c r="M90" s="1">
        <v>59</v>
      </c>
      <c r="N90" s="1">
        <f t="shared" si="5"/>
        <v>7647709.6115885042</v>
      </c>
      <c r="O90" s="1">
        <f t="shared" si="6"/>
        <v>37225.613243467087</v>
      </c>
      <c r="P90" s="1">
        <f t="shared" si="2"/>
        <v>3851796.6104307994</v>
      </c>
      <c r="Q90" s="1">
        <f t="shared" si="7"/>
        <v>3814570.9971873323</v>
      </c>
      <c r="R90" s="1">
        <f t="shared" si="8"/>
        <v>3833138.6144011719</v>
      </c>
    </row>
    <row r="91" spans="2:18" x14ac:dyDescent="0.3">
      <c r="B91" s="35"/>
      <c r="C91" s="40"/>
      <c r="D91" s="40"/>
      <c r="E91" s="35"/>
      <c r="F91" s="35"/>
      <c r="M91" s="13">
        <v>60</v>
      </c>
      <c r="N91" s="13">
        <f t="shared" si="5"/>
        <v>3833138.6144011719</v>
      </c>
      <c r="O91" s="13">
        <f t="shared" si="6"/>
        <v>18657.996029566693</v>
      </c>
      <c r="P91" s="13">
        <f t="shared" si="2"/>
        <v>3851796.6104307994</v>
      </c>
      <c r="Q91" s="13">
        <f t="shared" si="7"/>
        <v>3833138.6144012329</v>
      </c>
      <c r="R91" s="13">
        <f t="shared" si="8"/>
        <v>-6.1001628637313843E-8</v>
      </c>
    </row>
    <row r="92" spans="2:18" x14ac:dyDescent="0.3">
      <c r="B92" s="33">
        <v>44471</v>
      </c>
      <c r="C92" s="4" t="s">
        <v>86</v>
      </c>
      <c r="D92" s="4"/>
      <c r="E92" s="34">
        <f>+O40</f>
        <v>859500.29940958996</v>
      </c>
      <c r="F92" s="34"/>
      <c r="O92" s="1">
        <f>SUM(O32:O91)</f>
        <v>31107796.625847902</v>
      </c>
      <c r="P92" s="1">
        <f>SUM(P32:P91)</f>
        <v>231107796.62584826</v>
      </c>
      <c r="Q92" s="1">
        <f>SUM(Q32:Q91)</f>
        <v>200000000.00000009</v>
      </c>
    </row>
    <row r="93" spans="2:18" x14ac:dyDescent="0.3">
      <c r="B93" s="34"/>
      <c r="C93" s="4" t="s">
        <v>84</v>
      </c>
      <c r="D93" s="4"/>
      <c r="E93" s="34">
        <f>+Q40</f>
        <v>2992296.3110212097</v>
      </c>
      <c r="F93" s="34"/>
    </row>
    <row r="94" spans="2:18" x14ac:dyDescent="0.3">
      <c r="B94" s="34"/>
      <c r="C94" s="4"/>
      <c r="D94" s="4" t="s">
        <v>80</v>
      </c>
      <c r="E94" s="34"/>
      <c r="F94" s="34">
        <f>+E92+E93</f>
        <v>3851796.6104307994</v>
      </c>
    </row>
    <row r="95" spans="2:18" x14ac:dyDescent="0.3">
      <c r="B95" s="34"/>
      <c r="C95" s="4" t="s">
        <v>99</v>
      </c>
      <c r="D95" s="4"/>
      <c r="E95" s="34"/>
      <c r="F95" s="34"/>
    </row>
    <row r="96" spans="2:18" x14ac:dyDescent="0.3">
      <c r="B96" s="35"/>
      <c r="C96" s="40"/>
      <c r="D96" s="40"/>
      <c r="E96" s="35"/>
      <c r="F96" s="35"/>
    </row>
    <row r="97" spans="2:9" x14ac:dyDescent="0.3">
      <c r="B97" s="33">
        <v>44471</v>
      </c>
      <c r="C97" s="4" t="s">
        <v>42</v>
      </c>
      <c r="D97" s="4"/>
      <c r="E97" s="34">
        <v>55000000</v>
      </c>
      <c r="F97" s="34"/>
    </row>
    <row r="98" spans="2:9" x14ac:dyDescent="0.3">
      <c r="B98" s="34"/>
      <c r="C98" s="4" t="s">
        <v>88</v>
      </c>
      <c r="D98" s="4"/>
      <c r="E98" s="34">
        <f>+E97*0.19</f>
        <v>10450000</v>
      </c>
      <c r="F98" s="34"/>
    </row>
    <row r="99" spans="2:9" x14ac:dyDescent="0.3">
      <c r="B99" s="34"/>
      <c r="C99" s="4"/>
      <c r="D99" s="4" t="s">
        <v>89</v>
      </c>
      <c r="E99" s="34"/>
      <c r="F99" s="34">
        <f>+E97+E98</f>
        <v>65450000</v>
      </c>
      <c r="H99" s="13" t="s">
        <v>56</v>
      </c>
      <c r="I99" s="13"/>
    </row>
    <row r="100" spans="2:9" x14ac:dyDescent="0.3">
      <c r="B100" s="34"/>
      <c r="C100" s="4" t="s">
        <v>100</v>
      </c>
      <c r="D100" s="4"/>
      <c r="E100" s="34"/>
      <c r="F100" s="34"/>
      <c r="G100" s="26" t="s">
        <v>57</v>
      </c>
      <c r="H100" s="1" t="s">
        <v>45</v>
      </c>
    </row>
    <row r="101" spans="2:9" x14ac:dyDescent="0.3">
      <c r="B101" s="35"/>
      <c r="C101" s="40"/>
      <c r="D101" s="40"/>
      <c r="E101" s="35"/>
      <c r="F101" s="35"/>
      <c r="G101" s="26" t="s">
        <v>58</v>
      </c>
      <c r="H101" s="29" t="s">
        <v>46</v>
      </c>
    </row>
    <row r="102" spans="2:9" x14ac:dyDescent="0.3">
      <c r="B102" s="33">
        <v>44502</v>
      </c>
      <c r="C102" s="4" t="s">
        <v>86</v>
      </c>
      <c r="D102" s="4"/>
      <c r="E102" s="34">
        <f>+O41</f>
        <v>844935.14580920478</v>
      </c>
      <c r="F102" s="34"/>
      <c r="G102" s="26" t="s">
        <v>59</v>
      </c>
      <c r="H102" s="30" t="s">
        <v>47</v>
      </c>
    </row>
    <row r="103" spans="2:9" x14ac:dyDescent="0.3">
      <c r="B103" s="34"/>
      <c r="C103" s="4" t="s">
        <v>84</v>
      </c>
      <c r="D103" s="4"/>
      <c r="E103" s="34">
        <f>+Q41</f>
        <v>3006861.4646215946</v>
      </c>
      <c r="F103" s="34"/>
      <c r="G103" s="26" t="s">
        <v>60</v>
      </c>
      <c r="H103" s="31" t="s">
        <v>48</v>
      </c>
    </row>
    <row r="104" spans="2:9" x14ac:dyDescent="0.3">
      <c r="B104" s="34"/>
      <c r="C104" s="4"/>
      <c r="D104" s="4" t="s">
        <v>80</v>
      </c>
      <c r="E104" s="34"/>
      <c r="F104" s="34">
        <f>+E102+E103</f>
        <v>3851796.6104307994</v>
      </c>
      <c r="G104" s="26" t="s">
        <v>60</v>
      </c>
      <c r="H104" s="31" t="s">
        <v>49</v>
      </c>
    </row>
    <row r="105" spans="2:9" x14ac:dyDescent="0.3">
      <c r="B105" s="34"/>
      <c r="C105" s="4" t="s">
        <v>101</v>
      </c>
      <c r="D105" s="4"/>
      <c r="E105" s="34"/>
      <c r="F105" s="34"/>
      <c r="G105" s="26" t="s">
        <v>60</v>
      </c>
      <c r="H105" s="31" t="s">
        <v>50</v>
      </c>
    </row>
    <row r="106" spans="2:9" x14ac:dyDescent="0.3">
      <c r="B106" s="35"/>
      <c r="C106" s="40"/>
      <c r="D106" s="40"/>
      <c r="E106" s="35"/>
      <c r="F106" s="35"/>
      <c r="G106" s="26" t="s">
        <v>62</v>
      </c>
      <c r="H106" s="32" t="s">
        <v>61</v>
      </c>
    </row>
    <row r="107" spans="2:9" x14ac:dyDescent="0.3">
      <c r="B107" s="33">
        <v>44532</v>
      </c>
      <c r="C107" s="4" t="s">
        <v>86</v>
      </c>
      <c r="D107" s="4"/>
      <c r="E107" s="34">
        <f>+O42</f>
        <v>830299.09558717767</v>
      </c>
      <c r="F107" s="34"/>
      <c r="G107" s="55" t="s">
        <v>63</v>
      </c>
      <c r="H107" s="56" t="s">
        <v>42</v>
      </c>
      <c r="I107" s="2"/>
    </row>
    <row r="108" spans="2:9" x14ac:dyDescent="0.3">
      <c r="B108" s="34"/>
      <c r="C108" s="4" t="s">
        <v>84</v>
      </c>
      <c r="D108" s="4"/>
      <c r="E108" s="34">
        <f>+Q42</f>
        <v>3021497.5148436218</v>
      </c>
      <c r="F108" s="34"/>
      <c r="G108" s="26" t="s">
        <v>60</v>
      </c>
      <c r="H108" s="31" t="s">
        <v>51</v>
      </c>
    </row>
    <row r="109" spans="2:9" x14ac:dyDescent="0.3">
      <c r="B109" s="34"/>
      <c r="C109" s="4"/>
      <c r="D109" s="4" t="s">
        <v>80</v>
      </c>
      <c r="E109" s="34"/>
      <c r="F109" s="34">
        <f>+E107+E108</f>
        <v>3851796.6104307994</v>
      </c>
      <c r="G109" s="26" t="s">
        <v>60</v>
      </c>
      <c r="H109" s="31" t="s">
        <v>52</v>
      </c>
    </row>
    <row r="110" spans="2:9" x14ac:dyDescent="0.3">
      <c r="B110" s="34"/>
      <c r="C110" s="4" t="s">
        <v>102</v>
      </c>
      <c r="D110" s="4"/>
      <c r="E110" s="34"/>
      <c r="F110" s="34"/>
      <c r="G110" s="26" t="s">
        <v>60</v>
      </c>
      <c r="H110" s="31" t="s">
        <v>53</v>
      </c>
    </row>
    <row r="111" spans="2:9" x14ac:dyDescent="0.3">
      <c r="B111" s="35"/>
      <c r="C111" s="40"/>
      <c r="D111" s="40"/>
      <c r="E111" s="35"/>
      <c r="F111" s="35"/>
      <c r="G111" s="26" t="s">
        <v>60</v>
      </c>
      <c r="H111" s="31" t="s">
        <v>54</v>
      </c>
    </row>
    <row r="112" spans="2:9" x14ac:dyDescent="0.3">
      <c r="B112" s="33">
        <v>44561</v>
      </c>
      <c r="C112" s="4" t="s">
        <v>84</v>
      </c>
      <c r="D112" s="4"/>
      <c r="E112" s="34">
        <f>SUM(Q43:Q54)</f>
        <v>37425864.603005402</v>
      </c>
      <c r="F112" s="34"/>
      <c r="G112" s="26" t="s">
        <v>60</v>
      </c>
      <c r="H112" s="31" t="s">
        <v>55</v>
      </c>
    </row>
    <row r="113" spans="2:6" x14ac:dyDescent="0.3">
      <c r="B113" s="34"/>
      <c r="C113" s="4"/>
      <c r="D113" s="4" t="s">
        <v>83</v>
      </c>
      <c r="E113" s="34"/>
      <c r="F113" s="34">
        <f>+E112</f>
        <v>37425864.603005402</v>
      </c>
    </row>
    <row r="114" spans="2:6" x14ac:dyDescent="0.3">
      <c r="B114" s="34"/>
      <c r="C114" s="4" t="s">
        <v>104</v>
      </c>
      <c r="D114" s="4"/>
      <c r="E114" s="34"/>
      <c r="F114" s="34"/>
    </row>
    <row r="115" spans="2:6" x14ac:dyDescent="0.3">
      <c r="B115" s="34"/>
      <c r="C115" s="4" t="s">
        <v>105</v>
      </c>
      <c r="D115" s="4"/>
      <c r="E115" s="34"/>
      <c r="F115" s="34"/>
    </row>
    <row r="116" spans="2:6" x14ac:dyDescent="0.3">
      <c r="B116" s="35"/>
      <c r="C116" s="40"/>
      <c r="D116" s="40"/>
      <c r="E116" s="35"/>
      <c r="F116" s="35"/>
    </row>
    <row r="117" spans="2:6" x14ac:dyDescent="0.3">
      <c r="B117" s="33">
        <v>44561</v>
      </c>
      <c r="C117" s="4" t="s">
        <v>86</v>
      </c>
      <c r="D117" s="4"/>
      <c r="E117" s="34">
        <f>+O43</f>
        <v>815591.80365061807</v>
      </c>
      <c r="F117" s="34"/>
    </row>
    <row r="118" spans="2:6" x14ac:dyDescent="0.3">
      <c r="B118" s="34"/>
      <c r="C118" s="4"/>
      <c r="D118" s="4" t="s">
        <v>83</v>
      </c>
      <c r="E118" s="34"/>
      <c r="F118" s="34">
        <f>+E117</f>
        <v>815591.80365061807</v>
      </c>
    </row>
    <row r="119" spans="2:6" x14ac:dyDescent="0.3">
      <c r="B119" s="34"/>
      <c r="C119" s="4" t="s">
        <v>106</v>
      </c>
      <c r="D119" s="4"/>
      <c r="E119" s="34"/>
      <c r="F119" s="34"/>
    </row>
    <row r="120" spans="2:6" x14ac:dyDescent="0.3">
      <c r="B120" s="35"/>
      <c r="C120" s="40"/>
      <c r="D120" s="40"/>
      <c r="E120" s="35"/>
      <c r="F120" s="35"/>
    </row>
    <row r="121" spans="2:6" x14ac:dyDescent="0.3">
      <c r="B121" s="33">
        <f>+B117</f>
        <v>44561</v>
      </c>
      <c r="C121" s="4" t="s">
        <v>42</v>
      </c>
      <c r="D121" s="4"/>
      <c r="E121" s="34">
        <f>+H88</f>
        <v>10742279.238931663</v>
      </c>
      <c r="F121" s="34"/>
    </row>
    <row r="122" spans="2:6" x14ac:dyDescent="0.3">
      <c r="B122" s="34"/>
      <c r="C122" s="4"/>
      <c r="D122" s="4" t="s">
        <v>107</v>
      </c>
      <c r="E122" s="34"/>
      <c r="F122" s="34">
        <f>+E121</f>
        <v>10742279.238931663</v>
      </c>
    </row>
    <row r="123" spans="2:6" x14ac:dyDescent="0.3">
      <c r="B123" s="34"/>
      <c r="C123" s="4" t="s">
        <v>112</v>
      </c>
      <c r="D123" s="4"/>
      <c r="E123" s="34"/>
      <c r="F123" s="34"/>
    </row>
    <row r="124" spans="2:6" x14ac:dyDescent="0.3">
      <c r="B124" s="34"/>
      <c r="C124" s="4">
        <v>2021</v>
      </c>
      <c r="D124" s="4"/>
      <c r="E124" s="34"/>
      <c r="F124" s="34"/>
    </row>
    <row r="125" spans="2:6" x14ac:dyDescent="0.3">
      <c r="B125" s="35"/>
      <c r="C125" s="40"/>
      <c r="D125" s="40"/>
      <c r="E125" s="35"/>
      <c r="F125" s="35"/>
    </row>
  </sheetData>
  <mergeCells count="5">
    <mergeCell ref="C25:D25"/>
    <mergeCell ref="H32:I32"/>
    <mergeCell ref="H47:I47"/>
    <mergeCell ref="H59:I59"/>
    <mergeCell ref="H75:I7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Caso</vt:lpstr>
      <vt:lpstr>Desarrollo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Alumno</dc:creator>
  <cp:lastModifiedBy>Anónimo</cp:lastModifiedBy>
  <dcterms:created xsi:type="dcterms:W3CDTF">2023-07-05T19:27:10Z</dcterms:created>
  <dcterms:modified xsi:type="dcterms:W3CDTF">2023-07-08T00:36:27Z</dcterms:modified>
</cp:coreProperties>
</file>