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jara\Dropbox\02.- DOCENCIA\CLASES DIPLOMADO Y CURSOS\UNIVERSIDAD DE CHILE\DIPLOMA IFRS\2021\Diploma IFRS 162 hrs\Versión_2_2021\Taller Pyme\"/>
    </mc:Choice>
  </mc:AlternateContent>
  <bookViews>
    <workbookView xWindow="0" yWindow="30" windowWidth="15315" windowHeight="8010" firstSheet="3" activeTab="13"/>
  </bookViews>
  <sheets>
    <sheet name="Hoja de Trabajo" sheetId="1" r:id="rId1"/>
    <sheet name="Ajuste 01" sheetId="2" r:id="rId2"/>
    <sheet name="Ajuste 02" sheetId="3" r:id="rId3"/>
    <sheet name="Ajuste 03" sheetId="4" r:id="rId4"/>
    <sheet name="Ajuste 04" sheetId="5" r:id="rId5"/>
    <sheet name="Ajuste 05" sheetId="6" r:id="rId6"/>
    <sheet name="Ajuste 06" sheetId="7" r:id="rId7"/>
    <sheet name="Ajuste 07" sheetId="8" r:id="rId8"/>
    <sheet name="Ajuste 08" sheetId="9" r:id="rId9"/>
    <sheet name="Ajuste 09" sheetId="10" r:id="rId10"/>
    <sheet name="Ajuste 10" sheetId="11" r:id="rId11"/>
    <sheet name="Ajuste 11" sheetId="12" r:id="rId12"/>
    <sheet name="Ajuste 12" sheetId="14" r:id="rId13"/>
    <sheet name="Conciliación" sheetId="15" r:id="rId14"/>
  </sheets>
  <calcPr calcId="162913"/>
</workbook>
</file>

<file path=xl/calcChain.xml><?xml version="1.0" encoding="utf-8"?>
<calcChain xmlns="http://schemas.openxmlformats.org/spreadsheetml/2006/main">
  <c r="E10" i="15" l="1"/>
  <c r="E11" i="15"/>
  <c r="E12" i="15"/>
  <c r="K19" i="14"/>
  <c r="F65" i="10"/>
  <c r="K38" i="10"/>
  <c r="F23" i="3" l="1"/>
  <c r="E25" i="2"/>
  <c r="D20" i="6"/>
  <c r="E20" i="6" s="1"/>
  <c r="D19" i="6"/>
  <c r="D18" i="6"/>
  <c r="D21" i="6" s="1"/>
  <c r="C75" i="1"/>
  <c r="C72" i="1"/>
  <c r="C61" i="1"/>
  <c r="Q87" i="1"/>
  <c r="Q86" i="1" s="1"/>
  <c r="Q84" i="1"/>
  <c r="Q83" i="1"/>
  <c r="Q81" i="1"/>
  <c r="Q80" i="1" s="1"/>
  <c r="Q65" i="1"/>
  <c r="Q64" i="1" s="1"/>
  <c r="Q52" i="1"/>
  <c r="Q51" i="1"/>
  <c r="Q46" i="1"/>
  <c r="Q45" i="1"/>
  <c r="Q39" i="1"/>
  <c r="Q38" i="1"/>
  <c r="Q35" i="1"/>
  <c r="Q31" i="1"/>
  <c r="Q30" i="1"/>
  <c r="Q29" i="1" s="1"/>
  <c r="Q28" i="1"/>
  <c r="Q27" i="1"/>
  <c r="Q26" i="1"/>
  <c r="Q25" i="1"/>
  <c r="Q15" i="1"/>
  <c r="Q14" i="1"/>
  <c r="Q13" i="1"/>
  <c r="Q12" i="1"/>
  <c r="Q18" i="1"/>
  <c r="Q17" i="1"/>
  <c r="Q24" i="1"/>
  <c r="Q22" i="1"/>
  <c r="O68" i="1"/>
  <c r="Q68" i="1"/>
  <c r="O67" i="1"/>
  <c r="Q67" i="1"/>
  <c r="Q66" i="1" s="1"/>
  <c r="E17" i="15"/>
  <c r="E16" i="15"/>
  <c r="E15" i="15"/>
  <c r="E14" i="15"/>
  <c r="E13" i="15"/>
  <c r="E9" i="15"/>
  <c r="E8" i="15"/>
  <c r="E7" i="15"/>
  <c r="E6" i="15"/>
  <c r="O85" i="1"/>
  <c r="D23" i="14"/>
  <c r="C35" i="14" s="1"/>
  <c r="D27" i="14"/>
  <c r="E27" i="14"/>
  <c r="E42" i="14" s="1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E58" i="14"/>
  <c r="E83" i="11"/>
  <c r="E86" i="11"/>
  <c r="J31" i="11" s="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C30" i="11"/>
  <c r="D24" i="11"/>
  <c r="D25" i="11" s="1"/>
  <c r="E47" i="14"/>
  <c r="E48" i="14"/>
  <c r="E92" i="11"/>
  <c r="E41" i="14"/>
  <c r="E45" i="14"/>
  <c r="Q37" i="1"/>
  <c r="D46" i="10"/>
  <c r="B26" i="10"/>
  <c r="B25" i="10"/>
  <c r="N44" i="1"/>
  <c r="Q44" i="1"/>
  <c r="E16" i="9"/>
  <c r="E18" i="9" s="1"/>
  <c r="E19" i="9" s="1"/>
  <c r="E26" i="9" s="1"/>
  <c r="F27" i="9" s="1"/>
  <c r="D17" i="8"/>
  <c r="C18" i="8"/>
  <c r="E30" i="7"/>
  <c r="F33" i="7" s="1"/>
  <c r="E29" i="7"/>
  <c r="F32" i="7" s="1"/>
  <c r="E19" i="7"/>
  <c r="G19" i="7" s="1"/>
  <c r="E38" i="7" s="1"/>
  <c r="F20" i="7"/>
  <c r="D17" i="7"/>
  <c r="C17" i="7"/>
  <c r="C20" i="7" s="1"/>
  <c r="C22" i="7" s="1"/>
  <c r="E18" i="7"/>
  <c r="G18" i="7" s="1"/>
  <c r="E37" i="7" s="1"/>
  <c r="E31" i="6"/>
  <c r="E19" i="6"/>
  <c r="E30" i="6"/>
  <c r="E18" i="6"/>
  <c r="C21" i="6"/>
  <c r="O6" i="1"/>
  <c r="D19" i="5"/>
  <c r="D25" i="5" s="1"/>
  <c r="D19" i="4"/>
  <c r="D22" i="4" s="1"/>
  <c r="E26" i="4" s="1"/>
  <c r="F27" i="4" s="1"/>
  <c r="E6" i="1"/>
  <c r="F26" i="2"/>
  <c r="D36" i="1"/>
  <c r="Q36" i="1"/>
  <c r="C80" i="1"/>
  <c r="C82" i="1"/>
  <c r="C86" i="1"/>
  <c r="C66" i="1"/>
  <c r="C64" i="1"/>
  <c r="C77" i="1"/>
  <c r="C34" i="1"/>
  <c r="C54" i="1"/>
  <c r="C37" i="1"/>
  <c r="C48" i="1"/>
  <c r="C42" i="1"/>
  <c r="C53" i="1"/>
  <c r="Q53" i="1" s="1"/>
  <c r="C47" i="1"/>
  <c r="Q47" i="1" s="1"/>
  <c r="C41" i="1"/>
  <c r="C21" i="1"/>
  <c r="C29" i="1"/>
  <c r="C25" i="1"/>
  <c r="C16" i="1"/>
  <c r="C11" i="1"/>
  <c r="F19" i="1"/>
  <c r="D85" i="1"/>
  <c r="C88" i="1"/>
  <c r="C32" i="1" l="1"/>
  <c r="E28" i="7"/>
  <c r="F31" i="7" s="1"/>
  <c r="D20" i="7"/>
  <c r="Q19" i="1"/>
  <c r="Q16" i="1" s="1"/>
  <c r="F6" i="1"/>
  <c r="E30" i="5"/>
  <c r="F31" i="5" s="1"/>
  <c r="G23" i="1"/>
  <c r="D6" i="1"/>
  <c r="E17" i="7"/>
  <c r="E46" i="14"/>
  <c r="E43" i="14"/>
  <c r="L49" i="1"/>
  <c r="L6" i="1" s="1"/>
  <c r="C70" i="1"/>
  <c r="C78" i="1" s="1"/>
  <c r="C89" i="1" s="1"/>
  <c r="D18" i="8"/>
  <c r="E17" i="8"/>
  <c r="E29" i="6"/>
  <c r="E21" i="6"/>
  <c r="E51" i="14"/>
  <c r="E52" i="14"/>
  <c r="E37" i="14"/>
  <c r="E49" i="14"/>
  <c r="E50" i="14"/>
  <c r="E55" i="14"/>
  <c r="E56" i="14"/>
  <c r="E53" i="14"/>
  <c r="E54" i="14"/>
  <c r="E36" i="14"/>
  <c r="E57" i="14"/>
  <c r="E39" i="14"/>
  <c r="E40" i="14"/>
  <c r="E35" i="14"/>
  <c r="E38" i="14"/>
  <c r="F18" i="15"/>
  <c r="F20" i="15" s="1"/>
  <c r="D29" i="14"/>
  <c r="D35" i="14" s="1"/>
  <c r="Q34" i="1"/>
  <c r="C40" i="1"/>
  <c r="C56" i="1" s="1"/>
  <c r="C57" i="1" s="1"/>
  <c r="E44" i="14"/>
  <c r="D25" i="10"/>
  <c r="F93" i="11"/>
  <c r="M37" i="11"/>
  <c r="D30" i="11"/>
  <c r="Q11" i="1"/>
  <c r="I30" i="11"/>
  <c r="I32" i="11" s="1"/>
  <c r="E79" i="11"/>
  <c r="C90" i="1" l="1"/>
  <c r="N50" i="1"/>
  <c r="Q50" i="1" s="1"/>
  <c r="F35" i="14"/>
  <c r="G35" i="14" s="1"/>
  <c r="C36" i="14" s="1"/>
  <c r="G17" i="7"/>
  <c r="E20" i="7"/>
  <c r="H41" i="1"/>
  <c r="F32" i="6"/>
  <c r="E50" i="10"/>
  <c r="G50" i="10" s="1"/>
  <c r="E55" i="10"/>
  <c r="C32" i="10"/>
  <c r="F30" i="11"/>
  <c r="E18" i="8"/>
  <c r="E26" i="8"/>
  <c r="G6" i="1"/>
  <c r="Q23" i="1"/>
  <c r="Q21" i="1" s="1"/>
  <c r="Q32" i="1" s="1"/>
  <c r="J42" i="1"/>
  <c r="J6" i="1" s="1"/>
  <c r="D22" i="7"/>
  <c r="J48" i="1"/>
  <c r="Q48" i="1" s="1"/>
  <c r="G35" i="10" l="1"/>
  <c r="J36" i="10" s="1"/>
  <c r="D32" i="10"/>
  <c r="E32" i="10" s="1"/>
  <c r="C33" i="10" s="1"/>
  <c r="C46" i="10"/>
  <c r="F64" i="10"/>
  <c r="G65" i="10"/>
  <c r="M43" i="1"/>
  <c r="G20" i="7"/>
  <c r="E36" i="7"/>
  <c r="K55" i="1"/>
  <c r="F27" i="8"/>
  <c r="G30" i="11"/>
  <c r="C31" i="11" s="1"/>
  <c r="E64" i="10"/>
  <c r="F57" i="10"/>
  <c r="D36" i="14"/>
  <c r="F36" i="14" s="1"/>
  <c r="G36" i="14"/>
  <c r="C37" i="14" s="1"/>
  <c r="H6" i="1"/>
  <c r="Q41" i="1"/>
  <c r="D33" i="10" l="1"/>
  <c r="E33" i="10"/>
  <c r="C34" i="10" s="1"/>
  <c r="G37" i="14"/>
  <c r="C38" i="14" s="1"/>
  <c r="D37" i="14"/>
  <c r="F37" i="14" s="1"/>
  <c r="Q55" i="1"/>
  <c r="Q54" i="1" s="1"/>
  <c r="K6" i="1"/>
  <c r="I40" i="10"/>
  <c r="J41" i="10" s="1"/>
  <c r="E46" i="10"/>
  <c r="F58" i="10" s="1"/>
  <c r="M76" i="1" s="1"/>
  <c r="Q76" i="1" s="1"/>
  <c r="Q75" i="1" s="1"/>
  <c r="M49" i="1"/>
  <c r="Q49" i="1" s="1"/>
  <c r="D31" i="11"/>
  <c r="I42" i="1"/>
  <c r="F39" i="7"/>
  <c r="Q43" i="1"/>
  <c r="L38" i="10"/>
  <c r="J37" i="10"/>
  <c r="I6" i="1" l="1"/>
  <c r="Q42" i="1"/>
  <c r="D34" i="10"/>
  <c r="E34" i="10"/>
  <c r="C35" i="10" s="1"/>
  <c r="M6" i="1"/>
  <c r="Q40" i="1"/>
  <c r="Q56" i="1" s="1"/>
  <c r="Q57" i="1" s="1"/>
  <c r="F31" i="11"/>
  <c r="E56" i="10"/>
  <c r="D38" i="14"/>
  <c r="F38" i="14" s="1"/>
  <c r="G38" i="14"/>
  <c r="C39" i="14" s="1"/>
  <c r="G31" i="11" l="1"/>
  <c r="C32" i="11" s="1"/>
  <c r="D39" i="14"/>
  <c r="F39" i="14" s="1"/>
  <c r="G39" i="14" s="1"/>
  <c r="C40" i="14" s="1"/>
  <c r="D35" i="10"/>
  <c r="E65" i="10" s="1"/>
  <c r="E66" i="10" s="1"/>
  <c r="E35" i="10"/>
  <c r="C36" i="10" s="1"/>
  <c r="D40" i="14" l="1"/>
  <c r="F40" i="14" s="1"/>
  <c r="G40" i="14"/>
  <c r="C41" i="14" s="1"/>
  <c r="J38" i="10"/>
  <c r="D36" i="10"/>
  <c r="E36" i="10"/>
  <c r="C37" i="10" s="1"/>
  <c r="D32" i="11"/>
  <c r="D37" i="10" l="1"/>
  <c r="E37" i="10"/>
  <c r="C38" i="10" s="1"/>
  <c r="D41" i="14"/>
  <c r="F41" i="14" s="1"/>
  <c r="G41" i="14"/>
  <c r="C42" i="14" s="1"/>
  <c r="F32" i="11"/>
  <c r="G32" i="11" l="1"/>
  <c r="C33" i="11" s="1"/>
  <c r="D42" i="14"/>
  <c r="F42" i="14" s="1"/>
  <c r="G42" i="14"/>
  <c r="C43" i="14" s="1"/>
  <c r="D38" i="10"/>
  <c r="E38" i="10" s="1"/>
  <c r="C39" i="10" s="1"/>
  <c r="D39" i="10" l="1"/>
  <c r="E39" i="10"/>
  <c r="C40" i="10" s="1"/>
  <c r="D43" i="14"/>
  <c r="F43" i="14" s="1"/>
  <c r="G43" i="14"/>
  <c r="C44" i="14" s="1"/>
  <c r="D33" i="11"/>
  <c r="D44" i="14" l="1"/>
  <c r="F44" i="14" s="1"/>
  <c r="G44" i="14" s="1"/>
  <c r="C45" i="14" s="1"/>
  <c r="D40" i="10"/>
  <c r="E40" i="10"/>
  <c r="C41" i="10" s="1"/>
  <c r="F33" i="11"/>
  <c r="D45" i="14" l="1"/>
  <c r="F45" i="14" s="1"/>
  <c r="G45" i="14"/>
  <c r="C46" i="14" s="1"/>
  <c r="G33" i="11"/>
  <c r="C34" i="11" s="1"/>
  <c r="D41" i="10"/>
  <c r="E41" i="10"/>
  <c r="D34" i="11" l="1"/>
  <c r="D46" i="14"/>
  <c r="F46" i="14" s="1"/>
  <c r="G46" i="14"/>
  <c r="C47" i="14" s="1"/>
  <c r="D47" i="14" l="1"/>
  <c r="F47" i="14" s="1"/>
  <c r="G47" i="14"/>
  <c r="C48" i="14" s="1"/>
  <c r="F34" i="11"/>
  <c r="D48" i="14" l="1"/>
  <c r="F48" i="14" s="1"/>
  <c r="G48" i="14"/>
  <c r="C49" i="14" s="1"/>
  <c r="G34" i="11"/>
  <c r="C35" i="11" s="1"/>
  <c r="D35" i="11" l="1"/>
  <c r="F35" i="11" s="1"/>
  <c r="G35" i="11" s="1"/>
  <c r="C36" i="11" s="1"/>
  <c r="D49" i="14"/>
  <c r="F49" i="14" s="1"/>
  <c r="G49" i="14" s="1"/>
  <c r="C50" i="14" s="1"/>
  <c r="D50" i="14" l="1"/>
  <c r="F50" i="14" s="1"/>
  <c r="G50" i="14" s="1"/>
  <c r="C51" i="14" s="1"/>
  <c r="D36" i="11"/>
  <c r="F36" i="11" s="1"/>
  <c r="G36" i="11"/>
  <c r="C37" i="11" s="1"/>
  <c r="D51" i="14" l="1"/>
  <c r="F51" i="14" s="1"/>
  <c r="E62" i="14" s="1"/>
  <c r="E63" i="14" s="1"/>
  <c r="E75" i="14" s="1"/>
  <c r="D37" i="11"/>
  <c r="F37" i="11" s="1"/>
  <c r="G37" i="11" s="1"/>
  <c r="C38" i="11" s="1"/>
  <c r="D38" i="11" l="1"/>
  <c r="F38" i="11" s="1"/>
  <c r="G38" i="11" s="1"/>
  <c r="C39" i="11" s="1"/>
  <c r="P62" i="1"/>
  <c r="G51" i="14"/>
  <c r="C52" i="14" s="1"/>
  <c r="D39" i="11" l="1"/>
  <c r="F39" i="11" s="1"/>
  <c r="G39" i="11" s="1"/>
  <c r="C40" i="11" s="1"/>
  <c r="D52" i="14"/>
  <c r="F52" i="14" s="1"/>
  <c r="G52" i="14"/>
  <c r="C53" i="14" s="1"/>
  <c r="Q62" i="1"/>
  <c r="D40" i="11" l="1"/>
  <c r="F40" i="11" s="1"/>
  <c r="G40" i="11"/>
  <c r="C41" i="11" s="1"/>
  <c r="D53" i="14"/>
  <c r="F53" i="14" s="1"/>
  <c r="G53" i="14"/>
  <c r="C54" i="14" s="1"/>
  <c r="D54" i="14" l="1"/>
  <c r="F54" i="14" s="1"/>
  <c r="D41" i="11"/>
  <c r="F41" i="11" l="1"/>
  <c r="G41" i="11" s="1"/>
  <c r="C42" i="11" s="1"/>
  <c r="J30" i="11"/>
  <c r="J32" i="11" s="1"/>
  <c r="J33" i="11" s="1"/>
  <c r="G54" i="14"/>
  <c r="C55" i="14" s="1"/>
  <c r="D55" i="14" l="1"/>
  <c r="F55" i="14" s="1"/>
  <c r="G55" i="14"/>
  <c r="C56" i="14" s="1"/>
  <c r="D42" i="11"/>
  <c r="F42" i="11" s="1"/>
  <c r="G42" i="11"/>
  <c r="C43" i="11" s="1"/>
  <c r="G43" i="11" l="1"/>
  <c r="C44" i="11" s="1"/>
  <c r="D43" i="11"/>
  <c r="F43" i="11" s="1"/>
  <c r="D56" i="14"/>
  <c r="F56" i="14" s="1"/>
  <c r="G56" i="14" s="1"/>
  <c r="C57" i="14" s="1"/>
  <c r="D57" i="14" l="1"/>
  <c r="F57" i="14" s="1"/>
  <c r="G57" i="14" s="1"/>
  <c r="C58" i="14" s="1"/>
  <c r="D44" i="11"/>
  <c r="F44" i="11" s="1"/>
  <c r="D58" i="14" l="1"/>
  <c r="F58" i="14" s="1"/>
  <c r="E68" i="14" s="1"/>
  <c r="E69" i="14" s="1"/>
  <c r="E76" i="14" s="1"/>
  <c r="G44" i="11"/>
  <c r="C45" i="11" s="1"/>
  <c r="P73" i="1" l="1"/>
  <c r="F77" i="14"/>
  <c r="P85" i="1" s="1"/>
  <c r="Q85" i="1" s="1"/>
  <c r="Q82" i="1" s="1"/>
  <c r="Q88" i="1" s="1"/>
  <c r="D45" i="11"/>
  <c r="F45" i="11" s="1"/>
  <c r="G45" i="11"/>
  <c r="C46" i="11" s="1"/>
  <c r="G58" i="14"/>
  <c r="Q73" i="1" l="1"/>
  <c r="P6" i="1"/>
  <c r="D46" i="11"/>
  <c r="F46" i="11" s="1"/>
  <c r="G46" i="11"/>
  <c r="C47" i="11" s="1"/>
  <c r="D47" i="11" l="1"/>
  <c r="F47" i="11" s="1"/>
  <c r="G47" i="11" s="1"/>
  <c r="C48" i="11" s="1"/>
  <c r="D48" i="11" l="1"/>
  <c r="F48" i="11" s="1"/>
  <c r="G48" i="11" s="1"/>
  <c r="C49" i="11" s="1"/>
  <c r="D49" i="11" l="1"/>
  <c r="F49" i="11" s="1"/>
  <c r="G49" i="11" s="1"/>
  <c r="C50" i="11" s="1"/>
  <c r="D50" i="11" l="1"/>
  <c r="F50" i="11" s="1"/>
  <c r="G50" i="11" s="1"/>
  <c r="C51" i="11" s="1"/>
  <c r="D51" i="11" l="1"/>
  <c r="F51" i="11" s="1"/>
  <c r="G51" i="11" s="1"/>
  <c r="C52" i="11" s="1"/>
  <c r="D52" i="11" l="1"/>
  <c r="F52" i="11" s="1"/>
  <c r="G52" i="11" s="1"/>
  <c r="C53" i="11" s="1"/>
  <c r="D53" i="11" l="1"/>
  <c r="F53" i="11" s="1"/>
  <c r="F94" i="11" s="1"/>
  <c r="N63" i="1" l="1"/>
  <c r="G53" i="11"/>
  <c r="C54" i="11" s="1"/>
  <c r="D54" i="11" l="1"/>
  <c r="F54" i="11" s="1"/>
  <c r="G54" i="11"/>
  <c r="C55" i="11" s="1"/>
  <c r="Q63" i="1"/>
  <c r="Q61" i="1" s="1"/>
  <c r="Q70" i="1" s="1"/>
  <c r="D55" i="11" l="1"/>
  <c r="F55" i="11" s="1"/>
  <c r="G55" i="11"/>
  <c r="C56" i="11" s="1"/>
  <c r="G56" i="11" l="1"/>
  <c r="C57" i="11" s="1"/>
  <c r="D56" i="11"/>
  <c r="F56" i="11" s="1"/>
  <c r="G57" i="11" l="1"/>
  <c r="C58" i="11" s="1"/>
  <c r="D57" i="11"/>
  <c r="F57" i="11" s="1"/>
  <c r="D58" i="11" l="1"/>
  <c r="F58" i="11" s="1"/>
  <c r="G58" i="11" l="1"/>
  <c r="C59" i="11" s="1"/>
  <c r="G59" i="11" l="1"/>
  <c r="C60" i="11" s="1"/>
  <c r="D59" i="11"/>
  <c r="F59" i="11" s="1"/>
  <c r="D60" i="11" l="1"/>
  <c r="F60" i="11" s="1"/>
  <c r="G60" i="11" s="1"/>
  <c r="C61" i="11" s="1"/>
  <c r="D61" i="11" l="1"/>
  <c r="F61" i="11" s="1"/>
  <c r="G61" i="11" s="1"/>
  <c r="C62" i="11" s="1"/>
  <c r="G62" i="11" l="1"/>
  <c r="C63" i="11" s="1"/>
  <c r="D62" i="11"/>
  <c r="F62" i="11" s="1"/>
  <c r="D63" i="11" l="1"/>
  <c r="F63" i="11" s="1"/>
  <c r="G63" i="11" s="1"/>
  <c r="C64" i="11" s="1"/>
  <c r="D64" i="11" l="1"/>
  <c r="F64" i="11" s="1"/>
  <c r="G64" i="11"/>
  <c r="C65" i="11" s="1"/>
  <c r="D65" i="11" l="1"/>
  <c r="F65" i="11" s="1"/>
  <c r="G65" i="11" s="1"/>
  <c r="C66" i="11" s="1"/>
  <c r="D66" i="11" l="1"/>
  <c r="F66" i="11" s="1"/>
  <c r="G66" i="11" s="1"/>
  <c r="C67" i="11" s="1"/>
  <c r="D67" i="11" l="1"/>
  <c r="F67" i="11" s="1"/>
  <c r="G67" i="11"/>
  <c r="C68" i="11" s="1"/>
  <c r="D68" i="11" l="1"/>
  <c r="F68" i="11" s="1"/>
  <c r="G68" i="11" s="1"/>
  <c r="C69" i="11" s="1"/>
  <c r="D69" i="11" l="1"/>
  <c r="F69" i="11" s="1"/>
  <c r="G69" i="11"/>
  <c r="C70" i="11" s="1"/>
  <c r="D70" i="11" l="1"/>
  <c r="F70" i="11" s="1"/>
  <c r="G70" i="11" s="1"/>
  <c r="C71" i="11" s="1"/>
  <c r="D71" i="11" l="1"/>
  <c r="F71" i="11" s="1"/>
  <c r="G71" i="11" s="1"/>
  <c r="C72" i="11" s="1"/>
  <c r="G72" i="11" l="1"/>
  <c r="C73" i="11" s="1"/>
  <c r="D72" i="11"/>
  <c r="F72" i="11" s="1"/>
  <c r="D73" i="11" l="1"/>
  <c r="F73" i="11" s="1"/>
  <c r="G73" i="11" s="1"/>
  <c r="C74" i="11" s="1"/>
  <c r="G74" i="11" l="1"/>
  <c r="C75" i="11" s="1"/>
  <c r="D74" i="11"/>
  <c r="F74" i="11" s="1"/>
  <c r="D75" i="11" l="1"/>
  <c r="F75" i="11" s="1"/>
  <c r="G75" i="11" s="1"/>
  <c r="C76" i="11" s="1"/>
  <c r="D76" i="11" l="1"/>
  <c r="F76" i="11" s="1"/>
  <c r="G76" i="11"/>
  <c r="C77" i="11" s="1"/>
  <c r="G77" i="11" l="1"/>
  <c r="C78" i="11" s="1"/>
  <c r="D77" i="11"/>
  <c r="F77" i="11" s="1"/>
  <c r="D78" i="11" l="1"/>
  <c r="F78" i="11" l="1"/>
  <c r="D79" i="11"/>
  <c r="F79" i="11" l="1"/>
  <c r="F95" i="11"/>
  <c r="G78" i="11"/>
  <c r="N74" i="1" l="1"/>
  <c r="F96" i="11"/>
  <c r="Q74" i="1" l="1"/>
  <c r="Q72" i="1" s="1"/>
  <c r="Q77" i="1" s="1"/>
  <c r="Q78" i="1" s="1"/>
  <c r="Q89" i="1" s="1"/>
  <c r="Q90" i="1" s="1"/>
  <c r="N6" i="1"/>
</calcChain>
</file>

<file path=xl/sharedStrings.xml><?xml version="1.0" encoding="utf-8"?>
<sst xmlns="http://schemas.openxmlformats.org/spreadsheetml/2006/main" count="451" uniqueCount="317">
  <si>
    <t>Efectivo y equivalentes al efectivo</t>
  </si>
  <si>
    <t>Otros activos financieros corrientes</t>
  </si>
  <si>
    <t>Otros activos no financieros corrientes</t>
  </si>
  <si>
    <t>Deudores comerciales y otras cuentas por cobrar corrientes</t>
  </si>
  <si>
    <t>Inventarios corrientes</t>
  </si>
  <si>
    <t>Activos por impuestos corrientes, corrientes</t>
  </si>
  <si>
    <t>Activos corrientes totales</t>
  </si>
  <si>
    <t>Inversiones contabilizadas utilizando el método de la participación</t>
  </si>
  <si>
    <t>Activos intangibles distintos de la plusvalía</t>
  </si>
  <si>
    <t>Propiedades, planta y equipo</t>
  </si>
  <si>
    <t>Propiedad de inversión</t>
  </si>
  <si>
    <t>Total de activos no corrientes</t>
  </si>
  <si>
    <t>Total de activos</t>
  </si>
  <si>
    <t>Otros pasivos financieros corrientes</t>
  </si>
  <si>
    <t>Cuentas por pagar comerciales y otras cuentas por pagar</t>
  </si>
  <si>
    <t>Otras provisiones a corto plazo</t>
  </si>
  <si>
    <t>Pasivos por impuestos corrientes, corrientes</t>
  </si>
  <si>
    <t>Pasivos corrientes totales</t>
  </si>
  <si>
    <t>Otros pasivos financieros no corrientes</t>
  </si>
  <si>
    <t>Total de pasivos no corrientes</t>
  </si>
  <si>
    <t>Total de pasivos</t>
  </si>
  <si>
    <t>Capital emitido</t>
  </si>
  <si>
    <t>Ganancias (pérdidas) acumuladas</t>
  </si>
  <si>
    <t>Otras reservas</t>
  </si>
  <si>
    <t>Patrimonio total</t>
  </si>
  <si>
    <t>Total de patrimonio y pasivos</t>
  </si>
  <si>
    <t>Estado de situación financiera</t>
  </si>
  <si>
    <t>Activos</t>
  </si>
  <si>
    <t>Activos corrientes</t>
  </si>
  <si>
    <t xml:space="preserve">Activos no corrientes </t>
  </si>
  <si>
    <t xml:space="preserve">Patrimonio y pasivos </t>
  </si>
  <si>
    <t xml:space="preserve">Pasivos </t>
  </si>
  <si>
    <t>Pasivos corrientes</t>
  </si>
  <si>
    <t xml:space="preserve">Pasivos no corrientes </t>
  </si>
  <si>
    <t>Patrimonio</t>
  </si>
  <si>
    <t>01.01.2012</t>
  </si>
  <si>
    <t>Caja</t>
  </si>
  <si>
    <t>Banco</t>
  </si>
  <si>
    <t>Depósito a plazo $ 90 días</t>
  </si>
  <si>
    <t>Depósito a plazo $ 120 días</t>
  </si>
  <si>
    <t>Fondo mutuo renta fija</t>
  </si>
  <si>
    <t>Fondo mutuo accionario</t>
  </si>
  <si>
    <t>Inversiones en acciones Entel S.A.</t>
  </si>
  <si>
    <t>Clientes corto plazo</t>
  </si>
  <si>
    <t>Deterioro acumulado clientes</t>
  </si>
  <si>
    <t>Mercaderías nacionales</t>
  </si>
  <si>
    <t>Mercaderías importadas</t>
  </si>
  <si>
    <t>Deterioro acumulado inventarios</t>
  </si>
  <si>
    <t>PPM</t>
  </si>
  <si>
    <t>Crédito Sence</t>
  </si>
  <si>
    <t>IVA Crédito Fiscal</t>
  </si>
  <si>
    <t>Terrenos</t>
  </si>
  <si>
    <t>Inversión Terrenos</t>
  </si>
  <si>
    <t>Edificios</t>
  </si>
  <si>
    <t>Maquinaria y equipos</t>
  </si>
  <si>
    <t>Vehículos (equipos de transporte)</t>
  </si>
  <si>
    <t>Herramientas</t>
  </si>
  <si>
    <t>Software</t>
  </si>
  <si>
    <t>Equipos computacionales</t>
  </si>
  <si>
    <t>Otras Propiedades, planta y equipo</t>
  </si>
  <si>
    <t>Depreciación Acumulada Edificios</t>
  </si>
  <si>
    <t>Depreciación Acumulada Maquinaria y equipos</t>
  </si>
  <si>
    <t>Depreciación Acumulada Vehículos (equipos de transporte)</t>
  </si>
  <si>
    <t>Depreciación Acumulada Herramientas</t>
  </si>
  <si>
    <t>Depreciación Acumulada Equipos computacionales</t>
  </si>
  <si>
    <t>Depreciación Acumulada Otras Propiedades, planta y equipo</t>
  </si>
  <si>
    <t>Amortización Acumulada Software</t>
  </si>
  <si>
    <t>Inversión Logistica S.A</t>
  </si>
  <si>
    <t>Mayor valor inversión Logistica S.A</t>
  </si>
  <si>
    <t>Préstamo bancario corto plazo</t>
  </si>
  <si>
    <t>Préstamo bancario largo plazo</t>
  </si>
  <si>
    <t>Facturas por pagar</t>
  </si>
  <si>
    <t>Provisión gastos varios</t>
  </si>
  <si>
    <t>Provisión gastos futuros de publicidad</t>
  </si>
  <si>
    <t>Capital pagado</t>
  </si>
  <si>
    <t>Resultados acumulados</t>
  </si>
  <si>
    <t>Resultado ejercicio</t>
  </si>
  <si>
    <t>Reserva Revalorización capital propio</t>
  </si>
  <si>
    <t>PCGA Locales</t>
  </si>
  <si>
    <t>AJUSTE PRIMERA ADOPCIÓN IFRS PYME</t>
  </si>
  <si>
    <t>AJUSTE 01</t>
  </si>
  <si>
    <t>Descripción</t>
  </si>
  <si>
    <t>Elimina mayo r valor de inversión en sociedad Logistica SA</t>
  </si>
  <si>
    <t>Fundamento</t>
  </si>
  <si>
    <t>Bajo la norma Pyme, las minusvalías compradas son reconocidas inmediatamente en resultado, como un ingreso del período.</t>
  </si>
  <si>
    <t>Cálculo</t>
  </si>
  <si>
    <t>Registro</t>
  </si>
  <si>
    <t>Cuentas</t>
  </si>
  <si>
    <t>Debe</t>
  </si>
  <si>
    <t>Haber</t>
  </si>
  <si>
    <t>Mayor valor de inversión Logistica S.A</t>
  </si>
  <si>
    <t>AJUSTE PRIMERA ADOPCIÓN IFRS PEYME</t>
  </si>
  <si>
    <t>Elimina Mayor 
Valor Inversión</t>
  </si>
  <si>
    <t>Eliminar CM Inventarios</t>
  </si>
  <si>
    <t>AJUSTE 02</t>
  </si>
  <si>
    <t>Medición a valor razonable 
inversiones en acciones 
Entel</t>
  </si>
  <si>
    <t>AJUSTE 03</t>
  </si>
  <si>
    <t>N° de acciones</t>
  </si>
  <si>
    <t>Cotización bursátil</t>
  </si>
  <si>
    <t>Valor razonable total</t>
  </si>
  <si>
    <t>(-)</t>
  </si>
  <si>
    <t>Saldo contable 31.12.11</t>
  </si>
  <si>
    <t>Ajuste por medición VR</t>
  </si>
  <si>
    <t>AJUSTE 04</t>
  </si>
  <si>
    <t>Calculo</t>
  </si>
  <si>
    <t>Deterioro de clientes método pérdidas incurridas:</t>
  </si>
  <si>
    <t xml:space="preserve"> -Fact. 5210</t>
  </si>
  <si>
    <t xml:space="preserve"> -Fact. 5305</t>
  </si>
  <si>
    <t>Deterioro</t>
  </si>
  <si>
    <t>Saldo provisionado por incobrabilidad</t>
  </si>
  <si>
    <t>Ajuste por subvaluación deterioro clientes</t>
  </si>
  <si>
    <t>Subvaluación deterioro 
clientes</t>
  </si>
  <si>
    <t>Saldos bajo
IFRS PYME</t>
  </si>
  <si>
    <t>Saldos
01.01.2012</t>
  </si>
  <si>
    <t>Control</t>
  </si>
  <si>
    <t>Control --&gt;</t>
  </si>
  <si>
    <t>AJUSTE 05</t>
  </si>
  <si>
    <t>AJUSTE 06</t>
  </si>
  <si>
    <t>AJUSTE 07</t>
  </si>
  <si>
    <t>AJUSTE 08</t>
  </si>
  <si>
    <t>AJUSTE 09</t>
  </si>
  <si>
    <t>AJUSTE 10</t>
  </si>
  <si>
    <t>AJUSTE 11</t>
  </si>
  <si>
    <t>AJUSTE 12</t>
  </si>
  <si>
    <t>Valoración a mercado de terrenos  clasificados en Propiedades, planta y equipo</t>
  </si>
  <si>
    <t>Detalle</t>
  </si>
  <si>
    <t>Valoración a mercado de terrenos de PPE</t>
  </si>
  <si>
    <t>Terreno 1</t>
  </si>
  <si>
    <t>Terreno 3</t>
  </si>
  <si>
    <t>Terreno 2</t>
  </si>
  <si>
    <t>Saldo Contable</t>
  </si>
  <si>
    <t>s/bce</t>
  </si>
  <si>
    <t>Valor mercado</t>
  </si>
  <si>
    <t>Diferencia</t>
  </si>
  <si>
    <t>UF 01.01.2012</t>
  </si>
  <si>
    <t>Cuenta</t>
  </si>
  <si>
    <t>Terreno - 1</t>
  </si>
  <si>
    <t>Terreno - 2</t>
  </si>
  <si>
    <t>Terreno - 3</t>
  </si>
  <si>
    <t>AJUSTE PRIMERA ADOPCIÓN</t>
  </si>
  <si>
    <t>Valoración a mercado de edificios de PPE</t>
  </si>
  <si>
    <t>Valoración a mercado de Edificios clasificados en Propiedades, planta y equipo</t>
  </si>
  <si>
    <t>Edificio 1</t>
  </si>
  <si>
    <t>Edificio 2</t>
  </si>
  <si>
    <t>Edificio 3</t>
  </si>
  <si>
    <t>Saldo Bruto</t>
  </si>
  <si>
    <t>Dep. Acum</t>
  </si>
  <si>
    <t>Saldo Neto</t>
  </si>
  <si>
    <t>Dep. Acum. Edificio 1</t>
  </si>
  <si>
    <t>Dep. Acum. Edificio 2</t>
  </si>
  <si>
    <t>Dep. Acum. Edificio 3</t>
  </si>
  <si>
    <t>Elimina Deprec. Acum. Edificios</t>
  </si>
  <si>
    <t>Por eliminacion de la DA Edificios</t>
  </si>
  <si>
    <t>AJUSTE PRIMERA ADOPCION IFRS PYME</t>
  </si>
  <si>
    <t xml:space="preserve"> ----------------------------</t>
  </si>
  <si>
    <t>Valoración a mercado de terreno de Propiedad de inversión</t>
  </si>
  <si>
    <t>Valoración a mercado de terrenos  clasificados en Propiedad de inversión</t>
  </si>
  <si>
    <t>Terreno 4</t>
  </si>
  <si>
    <t>Terreno - 4</t>
  </si>
  <si>
    <t>Ajuste sobreestimación depreciación acumulada Maquinaria</t>
  </si>
  <si>
    <t>Ajuste sobreestimación depreciación acumulada Maquinarias</t>
  </si>
  <si>
    <t>Saldo bajo IFRS PYME</t>
  </si>
  <si>
    <t>Sobreestimación dep. acumulada</t>
  </si>
  <si>
    <t>Saldo dep. acum. Maquinaria PCGA Locales</t>
  </si>
  <si>
    <t>Reconocer provisión por desarme, retiro y rehabilitación Maquina</t>
  </si>
  <si>
    <t>Estimación costo futuro desarme, retiro y rehbilitación</t>
  </si>
  <si>
    <t>Vida útil maquina</t>
  </si>
  <si>
    <t>años</t>
  </si>
  <si>
    <t>Tasa de descuento</t>
  </si>
  <si>
    <t>(6% anual)</t>
  </si>
  <si>
    <t>Fecha de capitalización</t>
  </si>
  <si>
    <t xml:space="preserve"> 02-01-2008</t>
  </si>
  <si>
    <t>Valor presente de la estimacion</t>
  </si>
  <si>
    <t>=</t>
  </si>
  <si>
    <t>Tabla desarrollo interés Provisión</t>
  </si>
  <si>
    <t>Período</t>
  </si>
  <si>
    <t>Saldo inicial</t>
  </si>
  <si>
    <t>Costos Financiero (6%)</t>
  </si>
  <si>
    <t>Saldo final</t>
  </si>
  <si>
    <t>Saldo Provisión al 01 de enero de 2012</t>
  </si>
  <si>
    <t>Saldo Provisión al 01.01.12</t>
  </si>
  <si>
    <t>Saldo incremento maquinara al 01.01.2012</t>
  </si>
  <si>
    <t>Depreciación acumulada Maquinaria (por el incremento)</t>
  </si>
  <si>
    <t>Saldo incremento maquinaria</t>
  </si>
  <si>
    <t>* 4</t>
  </si>
  <si>
    <t>Incremento Depreciación Acumulada maquinaria</t>
  </si>
  <si>
    <t>Maquinaria</t>
  </si>
  <si>
    <t>Depreciación Acumulada Maquinaria</t>
  </si>
  <si>
    <t>Provisión desarme, retiro y rehabilitación</t>
  </si>
  <si>
    <t>Explicación del Ajuste Primera Adopción</t>
  </si>
  <si>
    <t>Depreciación no registrada</t>
  </si>
  <si>
    <t>Incremento por los costos financieros de la provisión</t>
  </si>
  <si>
    <t>Otras provisiones a largo plazo</t>
  </si>
  <si>
    <t>Reconocer Leasing Financiero Vehículo</t>
  </si>
  <si>
    <t>Reconocimiento de Leasing Financiero Vehículo</t>
  </si>
  <si>
    <t>Valor capital (contado)</t>
  </si>
  <si>
    <t>N° de cuotas de arriendo</t>
  </si>
  <si>
    <t>mensuales</t>
  </si>
  <si>
    <t>Valor cuotas arriendo</t>
  </si>
  <si>
    <t>Valor Opción (cuota 49)</t>
  </si>
  <si>
    <t>Calculo de tasa (TIR)</t>
  </si>
  <si>
    <t>Capital</t>
  </si>
  <si>
    <t>cuotas</t>
  </si>
  <si>
    <t>Tabla de amortización del Leasing Financiero</t>
  </si>
  <si>
    <t>Capital 
inicial</t>
  </si>
  <si>
    <t>Interés</t>
  </si>
  <si>
    <t>Cuota</t>
  </si>
  <si>
    <t>Amortiación
capital</t>
  </si>
  <si>
    <t>Capital
final</t>
  </si>
  <si>
    <t>Determinar la depreciación acumulada del vehículo en leasing</t>
  </si>
  <si>
    <t>Saldo vehículo en leasing</t>
  </si>
  <si>
    <t>Vida útil</t>
  </si>
  <si>
    <t>Consumo al 01.01.2012</t>
  </si>
  <si>
    <t>Depreciación Acumulada veh. Leasing</t>
  </si>
  <si>
    <t>Vehículo en leasing</t>
  </si>
  <si>
    <t>Dep. Acumulada vehículo Lea</t>
  </si>
  <si>
    <t>Obligación por Leasing c/p</t>
  </si>
  <si>
    <t>Obligación por Leasing l/p</t>
  </si>
  <si>
    <t>Obligaciones por leasing c/p</t>
  </si>
  <si>
    <t>Obligaciones por leasing l/p</t>
  </si>
  <si>
    <t>Provisión gastos futuros publicidad</t>
  </si>
  <si>
    <t>meses</t>
  </si>
  <si>
    <t>Tasa</t>
  </si>
  <si>
    <t>mensual</t>
  </si>
  <si>
    <t>Gasto por servicios de intermediación</t>
  </si>
  <si>
    <t>Qué tasa de interés explica un capital de</t>
  </si>
  <si>
    <t>Nuevo capital</t>
  </si>
  <si>
    <t>Cuotas</t>
  </si>
  <si>
    <t>TABLA DE AMORTIZACIÓN PRÉSTAMO BANCARIO CON TASA EFECTIVA</t>
  </si>
  <si>
    <t>Saldo préstamo bancario corto plazo con tasa efectiva</t>
  </si>
  <si>
    <t>Saldo préstamo bancario largo plazo con tasa efectiva</t>
  </si>
  <si>
    <t>Saldo préstamo bancario corto plazo según PCGA</t>
  </si>
  <si>
    <t>Ajuste disminución préstamo bca c/p</t>
  </si>
  <si>
    <t>Saldo préstamo bancario largo plazo según PCGA</t>
  </si>
  <si>
    <t xml:space="preserve">       AJUSTE PRIMERA ADOPCIÓN IFRS PYME</t>
  </si>
  <si>
    <t>DEBE</t>
  </si>
  <si>
    <t>HABER</t>
  </si>
  <si>
    <t>Préstamos bancarios a tasa efectiva</t>
  </si>
  <si>
    <t>Patrimonio Bajo PCGA chilenos</t>
  </si>
  <si>
    <t>Ajustes Primera Adopción</t>
  </si>
  <si>
    <t>Total Ajuste Primera Adopción</t>
  </si>
  <si>
    <t>Patrimonio Bajo IFRS PYME</t>
  </si>
  <si>
    <t>Cociliación Patrimonio PCGA Locales v/s IFRS PYME al 01.01.2012</t>
  </si>
  <si>
    <t>Elimina provisiones sin sustento de obligación</t>
  </si>
  <si>
    <t>Nota: Saldo deudor (+); Saldo acreedor (-)</t>
  </si>
  <si>
    <t>Saldo al 01.01.2012 "Mayor valor de inversión Logistica S.A."</t>
  </si>
  <si>
    <t>Elimina Corrección Monetaria aplicada en existencias.</t>
  </si>
  <si>
    <t>Bajo las IFRS PYME, Chile no califica como país hiperinflacionario, por lo tanto, debe eliminar los efectos inflacionarios incluidos en las existencias.</t>
  </si>
  <si>
    <t>Medición a valor razonable inversión en acciones Entel S.A.</t>
  </si>
  <si>
    <t>Bajo las IFRS PYME, los activos financiero de esta naturaleza deben valorarse a  mercado.</t>
  </si>
  <si>
    <t>Valor razonable acciones Entel S.A. al 01.01.2012:</t>
  </si>
  <si>
    <t>Inversión en acciones Entel S.A.</t>
  </si>
  <si>
    <t>Ajuste deterioro de clientes, subestimación.</t>
  </si>
  <si>
    <t>Bajo un enfoque de pérdidas incurridas, la estimación de incobrabiidad debe ser ajustada por estar subestimada.</t>
  </si>
  <si>
    <t>Deterioro Acumulado clientes</t>
  </si>
  <si>
    <t>Saldo al 01.01.2012 "Provisión gastos varios"</t>
  </si>
  <si>
    <t>Saldo al 01.01.2012 "Provisión gastos futuros de publicidad"</t>
  </si>
  <si>
    <t>Elimina provisiones que no poseen justificación, no representan una obligación presente al 01.01.2012.</t>
  </si>
  <si>
    <t>Ajuste disminución préstamo bancario l/p</t>
  </si>
  <si>
    <t>Corrección Monetaria Inventarios</t>
  </si>
  <si>
    <t>Deterioro clientes</t>
  </si>
  <si>
    <t>Tasación Terrenos de Propiedades, Planta y Equipo</t>
  </si>
  <si>
    <t>Tasación Edificios de Propiedades, Planta y Equipo</t>
  </si>
  <si>
    <t>Tasación Terrenos de Propiedades de Inversión</t>
  </si>
  <si>
    <t>Depreciación acumulada maquinarias</t>
  </si>
  <si>
    <t>Provisión por desarme, retiro y rehabilitación</t>
  </si>
  <si>
    <t>Leasing financiero vehículo</t>
  </si>
  <si>
    <t>Provisiones corto plazo</t>
  </si>
  <si>
    <t>Prestamo bancario a tasa efectiva</t>
  </si>
  <si>
    <t>Ajuste 01 -</t>
  </si>
  <si>
    <t>Ajuste 02 -</t>
  </si>
  <si>
    <t>Ajuste 03 -</t>
  </si>
  <si>
    <t>Ajuste 04 -</t>
  </si>
  <si>
    <t>Ajuste 05 -</t>
  </si>
  <si>
    <t>Ajuste 06 -</t>
  </si>
  <si>
    <t>Ajuste 07 -</t>
  </si>
  <si>
    <t>Ajuste 08 -</t>
  </si>
  <si>
    <t>Ajuste 09 -</t>
  </si>
  <si>
    <t>Ajuste 11 -</t>
  </si>
  <si>
    <t>Ajuste 12 -</t>
  </si>
  <si>
    <t>Ajuste 10  -</t>
  </si>
  <si>
    <t>Nota: no se incluye cálculo por impuestos diferidos de los ajustes de Primera Adopción IFRS PYME</t>
  </si>
  <si>
    <t>La sección 35 de la Norma IFRS Pyme permite como costo aribuido de PPE</t>
  </si>
  <si>
    <t>utilizar su costo revaluado.</t>
  </si>
  <si>
    <t>La sección 35 de la Norma IFRS Pyme permite como costo aribuido de PI</t>
  </si>
  <si>
    <t>La Norma IFRS Pyme requiere el reconocimiento de Leasing financiero cuando cumple</t>
  </si>
  <si>
    <t>los requisitos dispuestos. La sección está basada en la NIC 17.</t>
  </si>
  <si>
    <t>Gasto L. Operat.</t>
  </si>
  <si>
    <t>Gasto L. Finan.</t>
  </si>
  <si>
    <t>Ajuste préstamo bancario según tasa efectiva</t>
  </si>
  <si>
    <t>Las Normas NIIF Pyme utiliza el concepto de tasa efectiva en el reconocimiento de</t>
  </si>
  <si>
    <t>los pasivos financieros.</t>
  </si>
  <si>
    <t>Calculo de nueva tasa =(TIR)</t>
  </si>
  <si>
    <t>CLP</t>
  </si>
  <si>
    <t>Factor</t>
  </si>
  <si>
    <t xml:space="preserve"> (1+i)^n</t>
  </si>
  <si>
    <t xml:space="preserve"> ---- 1 ----</t>
  </si>
  <si>
    <t>Maquina</t>
  </si>
  <si>
    <t xml:space="preserve">   Provisión por DRR</t>
  </si>
  <si>
    <t xml:space="preserve"> 01-01-2012</t>
  </si>
  <si>
    <t>maq</t>
  </si>
  <si>
    <t>prov</t>
  </si>
  <si>
    <t>dep. acumu</t>
  </si>
  <si>
    <t>TASA =TIR()</t>
  </si>
  <si>
    <t>costos financieros</t>
  </si>
  <si>
    <t xml:space="preserve"> vehículo en arriendo</t>
  </si>
  <si>
    <t xml:space="preserve">      Obligación por arrendamiento, corriente</t>
  </si>
  <si>
    <t xml:space="preserve">      Obligación por arrendamiento, no corriente</t>
  </si>
  <si>
    <t>Por el contrato de arrendamiento</t>
  </si>
  <si>
    <t>depreciación</t>
  </si>
  <si>
    <t>cuotas a gasto</t>
  </si>
  <si>
    <t>nueva tasa =TIR() = TASA EFECTIVA</t>
  </si>
  <si>
    <t xml:space="preserve"> ----1 ----</t>
  </si>
  <si>
    <t xml:space="preserve">     FxP</t>
  </si>
  <si>
    <t>Obligación bancaria</t>
  </si>
  <si>
    <t>Derechos Reservados Dr. Luis Jara Sarrúa</t>
  </si>
  <si>
    <t>HOJA DE TRABAJO - CONVERSIÓN BALANCE BAJO PCGA CHILENOS A  IFRS 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</si>
</sst>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  <numFmt numFmtId="167" formatCode="_-* #,##0.0000_-;\-* #,##0.0000_-;_-* &quot;-&quot;??_-;_-@_-"/>
    <numFmt numFmtId="168" formatCode="0.0%"/>
    <numFmt numFmtId="169" formatCode="0.000%"/>
    <numFmt numFmtId="170" formatCode="_-* #,##0_-;\(* #,##0_-\)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 Unicode MS"/>
      <family val="2"/>
    </font>
    <font>
      <sz val="8"/>
      <color indexed="8"/>
      <name val="Arial Unicode MS"/>
      <family val="2"/>
    </font>
    <font>
      <sz val="9"/>
      <color theme="1"/>
      <name val="Calibri"/>
      <family val="2"/>
      <scheme val="minor"/>
    </font>
    <font>
      <b/>
      <sz val="8"/>
      <color indexed="8"/>
      <name val="Arial Unicode MS"/>
      <family val="2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165" fontId="0" fillId="0" borderId="0" xfId="1" applyNumberFormat="1" applyFont="1"/>
    <xf numFmtId="165" fontId="2" fillId="0" borderId="0" xfId="1" applyNumberFormat="1" applyFont="1"/>
    <xf numFmtId="165" fontId="0" fillId="0" borderId="2" xfId="1" applyNumberFormat="1" applyFont="1" applyBorder="1"/>
    <xf numFmtId="165" fontId="2" fillId="0" borderId="2" xfId="1" applyNumberFormat="1" applyFont="1" applyBorder="1"/>
    <xf numFmtId="165" fontId="5" fillId="0" borderId="2" xfId="1" applyNumberFormat="1" applyFont="1" applyBorder="1"/>
    <xf numFmtId="165" fontId="5" fillId="0" borderId="2" xfId="1" applyNumberFormat="1" applyFont="1" applyBorder="1" applyAlignment="1">
      <alignment horizontal="left" indent="1"/>
    </xf>
    <xf numFmtId="165" fontId="2" fillId="0" borderId="3" xfId="1" applyNumberFormat="1" applyFont="1" applyBorder="1"/>
    <xf numFmtId="165" fontId="0" fillId="0" borderId="4" xfId="1" applyNumberFormat="1" applyFont="1" applyBorder="1"/>
    <xf numFmtId="165" fontId="0" fillId="0" borderId="3" xfId="1" applyNumberFormat="1" applyFont="1" applyBorder="1"/>
    <xf numFmtId="165" fontId="2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wrapText="1"/>
    </xf>
    <xf numFmtId="165" fontId="7" fillId="0" borderId="3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4" fontId="0" fillId="0" borderId="0" xfId="1" applyNumberFormat="1" applyFont="1"/>
    <xf numFmtId="165" fontId="0" fillId="0" borderId="4" xfId="1" applyNumberFormat="1" applyFont="1" applyBorder="1" applyAlignment="1">
      <alignment horizontal="center" wrapText="1"/>
    </xf>
    <xf numFmtId="165" fontId="1" fillId="0" borderId="0" xfId="1" applyNumberFormat="1" applyFont="1"/>
    <xf numFmtId="165" fontId="8" fillId="0" borderId="0" xfId="1" applyNumberFormat="1" applyFont="1"/>
    <xf numFmtId="165" fontId="8" fillId="0" borderId="4" xfId="1" applyNumberFormat="1" applyFont="1" applyBorder="1" applyAlignment="1"/>
    <xf numFmtId="165" fontId="8" fillId="0" borderId="0" xfId="1" applyNumberFormat="1" applyFont="1" applyBorder="1" applyAlignment="1"/>
    <xf numFmtId="165" fontId="5" fillId="0" borderId="6" xfId="1" applyNumberFormat="1" applyFont="1" applyBorder="1" applyAlignment="1">
      <alignment horizontal="center" vertical="center" wrapText="1"/>
    </xf>
    <xf numFmtId="166" fontId="0" fillId="0" borderId="0" xfId="1" applyNumberFormat="1" applyFont="1"/>
    <xf numFmtId="167" fontId="0" fillId="0" borderId="0" xfId="1" applyNumberFormat="1" applyFont="1" applyAlignment="1">
      <alignment horizontal="center"/>
    </xf>
    <xf numFmtId="165" fontId="2" fillId="0" borderId="4" xfId="1" applyNumberFormat="1" applyFont="1" applyBorder="1"/>
    <xf numFmtId="165" fontId="0" fillId="0" borderId="0" xfId="1" applyNumberFormat="1" applyFont="1" applyAlignment="1"/>
    <xf numFmtId="165" fontId="0" fillId="0" borderId="0" xfId="1" applyNumberFormat="1" applyFont="1" applyAlignment="1">
      <alignment horizontal="left"/>
    </xf>
    <xf numFmtId="168" fontId="0" fillId="0" borderId="0" xfId="2" applyNumberFormat="1" applyFont="1"/>
    <xf numFmtId="165" fontId="2" fillId="3" borderId="0" xfId="1" applyNumberFormat="1" applyFont="1" applyFill="1"/>
    <xf numFmtId="165" fontId="5" fillId="0" borderId="0" xfId="1" applyNumberFormat="1" applyFont="1"/>
    <xf numFmtId="165" fontId="0" fillId="2" borderId="0" xfId="1" applyNumberFormat="1" applyFont="1" applyFill="1"/>
    <xf numFmtId="165" fontId="7" fillId="3" borderId="2" xfId="1" applyNumberFormat="1" applyFont="1" applyFill="1" applyBorder="1"/>
    <xf numFmtId="165" fontId="7" fillId="3" borderId="0" xfId="1" applyNumberFormat="1" applyFont="1" applyFill="1"/>
    <xf numFmtId="165" fontId="6" fillId="2" borderId="2" xfId="1" applyNumberFormat="1" applyFont="1" applyFill="1" applyBorder="1" applyAlignment="1">
      <alignment indent="3"/>
    </xf>
    <xf numFmtId="165" fontId="4" fillId="2" borderId="2" xfId="1" applyNumberFormat="1" applyFont="1" applyFill="1" applyBorder="1" applyAlignment="1">
      <alignment horizontal="left" indent="5"/>
    </xf>
    <xf numFmtId="165" fontId="3" fillId="2" borderId="2" xfId="1" applyNumberFormat="1" applyFont="1" applyFill="1" applyBorder="1" applyAlignment="1">
      <alignment indent="3"/>
    </xf>
    <xf numFmtId="165" fontId="6" fillId="2" borderId="2" xfId="1" applyNumberFormat="1" applyFont="1" applyFill="1" applyBorder="1" applyAlignment="1">
      <alignment indent="2"/>
    </xf>
    <xf numFmtId="165" fontId="6" fillId="2" borderId="2" xfId="1" applyNumberFormat="1" applyFont="1" applyFill="1" applyBorder="1" applyAlignment="1">
      <alignment indent="1"/>
    </xf>
    <xf numFmtId="165" fontId="6" fillId="2" borderId="2" xfId="1" applyNumberFormat="1" applyFont="1" applyFill="1" applyBorder="1" applyAlignment="1">
      <alignment indent="4"/>
    </xf>
    <xf numFmtId="165" fontId="4" fillId="2" borderId="2" xfId="1" applyNumberFormat="1" applyFont="1" applyFill="1" applyBorder="1" applyAlignment="1">
      <alignment horizontal="left" indent="6"/>
    </xf>
    <xf numFmtId="165" fontId="6" fillId="3" borderId="2" xfId="1" applyNumberFormat="1" applyFont="1" applyFill="1" applyBorder="1" applyAlignment="1">
      <alignment horizontal="left" indent="6"/>
    </xf>
    <xf numFmtId="165" fontId="6" fillId="2" borderId="3" xfId="1" applyNumberFormat="1" applyFont="1" applyFill="1" applyBorder="1" applyAlignment="1">
      <alignment indent="2"/>
    </xf>
    <xf numFmtId="165" fontId="5" fillId="0" borderId="6" xfId="1" applyNumberFormat="1" applyFont="1" applyBorder="1" applyAlignment="1">
      <alignment horizontal="center" vertical="center"/>
    </xf>
    <xf numFmtId="165" fontId="5" fillId="0" borderId="6" xfId="1" applyNumberFormat="1" applyFont="1" applyBorder="1" applyAlignment="1">
      <alignment horizontal="center" wrapText="1"/>
    </xf>
    <xf numFmtId="165" fontId="0" fillId="0" borderId="1" xfId="1" applyNumberFormat="1" applyFont="1" applyBorder="1"/>
    <xf numFmtId="165" fontId="2" fillId="3" borderId="2" xfId="1" applyNumberFormat="1" applyFont="1" applyFill="1" applyBorder="1"/>
    <xf numFmtId="165" fontId="6" fillId="2" borderId="1" xfId="1" applyNumberFormat="1" applyFont="1" applyFill="1" applyBorder="1" applyAlignment="1">
      <alignment indent="1"/>
    </xf>
    <xf numFmtId="165" fontId="5" fillId="0" borderId="7" xfId="1" applyNumberFormat="1" applyFont="1" applyBorder="1"/>
    <xf numFmtId="165" fontId="5" fillId="0" borderId="4" xfId="1" applyNumberFormat="1" applyFont="1" applyBorder="1"/>
    <xf numFmtId="165" fontId="9" fillId="0" borderId="0" xfId="1" applyNumberFormat="1" applyFont="1" applyAlignment="1">
      <alignment horizontal="center"/>
    </xf>
    <xf numFmtId="165" fontId="2" fillId="0" borderId="8" xfId="1" applyNumberFormat="1" applyFont="1" applyBorder="1"/>
    <xf numFmtId="165" fontId="1" fillId="0" borderId="4" xfId="1" applyNumberFormat="1" applyFont="1" applyBorder="1"/>
    <xf numFmtId="165" fontId="10" fillId="0" borderId="0" xfId="1" applyNumberFormat="1" applyFont="1"/>
    <xf numFmtId="170" fontId="0" fillId="0" borderId="0" xfId="1" applyNumberFormat="1" applyFont="1"/>
    <xf numFmtId="165" fontId="11" fillId="3" borderId="1" xfId="1" applyNumberFormat="1" applyFont="1" applyFill="1" applyBorder="1" applyAlignment="1">
      <alignment horizontal="center" vertical="center" wrapText="1"/>
    </xf>
    <xf numFmtId="165" fontId="11" fillId="3" borderId="3" xfId="1" applyNumberFormat="1" applyFont="1" applyFill="1" applyBorder="1" applyAlignment="1">
      <alignment horizontal="center" vertical="center"/>
    </xf>
    <xf numFmtId="165" fontId="12" fillId="0" borderId="0" xfId="1" applyNumberFormat="1" applyFont="1"/>
    <xf numFmtId="165" fontId="0" fillId="0" borderId="0" xfId="1" applyNumberFormat="1" applyFont="1" applyAlignment="1">
      <alignment horizontal="left" indent="1"/>
    </xf>
    <xf numFmtId="9" fontId="0" fillId="0" borderId="0" xfId="2" applyFont="1"/>
    <xf numFmtId="165" fontId="0" fillId="0" borderId="5" xfId="1" applyNumberFormat="1" applyFont="1" applyBorder="1"/>
    <xf numFmtId="165" fontId="0" fillId="3" borderId="0" xfId="1" applyNumberFormat="1" applyFont="1" applyFill="1"/>
    <xf numFmtId="165" fontId="12" fillId="0" borderId="0" xfId="1" applyNumberFormat="1" applyFont="1" applyAlignment="1">
      <alignment horizontal="right"/>
    </xf>
    <xf numFmtId="169" fontId="2" fillId="0" borderId="0" xfId="2" applyNumberFormat="1" applyFont="1"/>
    <xf numFmtId="165" fontId="13" fillId="0" borderId="0" xfId="1" applyNumberFormat="1" applyFont="1"/>
    <xf numFmtId="165" fontId="7" fillId="0" borderId="7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ifrs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0"/>
  <sheetViews>
    <sheetView showGridLines="0" topLeftCell="B1" zoomScale="120" zoomScaleNormal="120" workbookViewId="0">
      <pane xSplit="2" ySplit="8" topLeftCell="J10" activePane="bottomRight" state="frozen"/>
      <selection activeCell="B1" sqref="B1"/>
      <selection pane="topRight" activeCell="D1" sqref="D1"/>
      <selection pane="bottomLeft" activeCell="B4" sqref="B4"/>
      <selection pane="bottomRight" activeCell="O7" sqref="O7"/>
    </sheetView>
  </sheetViews>
  <sheetFormatPr baseColWidth="10" defaultColWidth="11.42578125" defaultRowHeight="15"/>
  <cols>
    <col min="1" max="1" width="0.85546875" style="1" customWidth="1"/>
    <col min="2" max="2" width="46.42578125" style="1" customWidth="1"/>
    <col min="3" max="3" width="14.85546875" style="1" customWidth="1"/>
    <col min="4" max="16" width="20.7109375" style="1" customWidth="1"/>
    <col min="17" max="17" width="15.28515625" style="1" customWidth="1"/>
    <col min="18" max="18" width="11.7109375" style="1" bestFit="1" customWidth="1"/>
    <col min="19" max="19" width="12.85546875" style="1" bestFit="1" customWidth="1"/>
    <col min="20" max="16384" width="11.42578125" style="1"/>
  </cols>
  <sheetData>
    <row r="1" spans="2:17">
      <c r="B1" s="55" t="s">
        <v>315</v>
      </c>
    </row>
    <row r="2" spans="2:17" ht="15.75">
      <c r="B2" s="62" t="s">
        <v>316</v>
      </c>
    </row>
    <row r="3" spans="2:17">
      <c r="B3" s="55"/>
    </row>
    <row r="4" spans="2:17" ht="15.75">
      <c r="B4" s="62"/>
    </row>
    <row r="6" spans="2:17" s="17" customFormat="1">
      <c r="B6" s="48" t="s">
        <v>244</v>
      </c>
      <c r="C6" s="48" t="s">
        <v>115</v>
      </c>
      <c r="D6" s="18">
        <f t="shared" ref="D6:P6" si="0">SUM(D9:D89)</f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</row>
    <row r="7" spans="2:17" ht="48.75">
      <c r="B7" s="10" t="s">
        <v>26</v>
      </c>
      <c r="C7" s="11" t="s">
        <v>113</v>
      </c>
      <c r="D7" s="20" t="s">
        <v>92</v>
      </c>
      <c r="E7" s="41" t="s">
        <v>93</v>
      </c>
      <c r="F7" s="42" t="s">
        <v>95</v>
      </c>
      <c r="G7" s="20" t="s">
        <v>111</v>
      </c>
      <c r="H7" s="20" t="s">
        <v>126</v>
      </c>
      <c r="I7" s="20" t="s">
        <v>140</v>
      </c>
      <c r="J7" s="20" t="s">
        <v>151</v>
      </c>
      <c r="K7" s="20" t="s">
        <v>155</v>
      </c>
      <c r="L7" s="20" t="s">
        <v>159</v>
      </c>
      <c r="M7" s="20" t="s">
        <v>164</v>
      </c>
      <c r="N7" s="20" t="s">
        <v>193</v>
      </c>
      <c r="O7" s="20" t="s">
        <v>243</v>
      </c>
      <c r="P7" s="20" t="s">
        <v>237</v>
      </c>
      <c r="Q7" s="53" t="s">
        <v>112</v>
      </c>
    </row>
    <row r="8" spans="2:17">
      <c r="B8" s="9"/>
      <c r="C8" s="12" t="s">
        <v>78</v>
      </c>
      <c r="D8" s="12" t="s">
        <v>80</v>
      </c>
      <c r="E8" s="12" t="s">
        <v>94</v>
      </c>
      <c r="F8" s="12" t="s">
        <v>96</v>
      </c>
      <c r="G8" s="12" t="s">
        <v>103</v>
      </c>
      <c r="H8" s="12" t="s">
        <v>116</v>
      </c>
      <c r="I8" s="63" t="s">
        <v>117</v>
      </c>
      <c r="J8" s="64"/>
      <c r="K8" s="12" t="s">
        <v>118</v>
      </c>
      <c r="L8" s="12" t="s">
        <v>119</v>
      </c>
      <c r="M8" s="12" t="s">
        <v>120</v>
      </c>
      <c r="N8" s="12" t="s">
        <v>121</v>
      </c>
      <c r="O8" s="12" t="s">
        <v>122</v>
      </c>
      <c r="P8" s="12" t="s">
        <v>123</v>
      </c>
      <c r="Q8" s="54" t="s">
        <v>35</v>
      </c>
    </row>
    <row r="9" spans="2:17">
      <c r="B9" s="45" t="s">
        <v>27</v>
      </c>
      <c r="C9" s="3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43"/>
    </row>
    <row r="10" spans="2:17">
      <c r="B10" s="35" t="s">
        <v>28</v>
      </c>
      <c r="C10" s="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3"/>
    </row>
    <row r="11" spans="2:17">
      <c r="B11" s="32" t="s">
        <v>0</v>
      </c>
      <c r="C11" s="4">
        <f>SUM(C12:C15)</f>
        <v>134250000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4">
        <f>SUM(Q12:Q15)</f>
        <v>134250000</v>
      </c>
    </row>
    <row r="12" spans="2:17">
      <c r="B12" s="33" t="s">
        <v>36</v>
      </c>
      <c r="C12" s="5">
        <v>15500000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5">
        <f t="shared" ref="Q12:Q15" si="1">SUM(C12:P12)</f>
        <v>15500000</v>
      </c>
    </row>
    <row r="13" spans="2:17">
      <c r="B13" s="33" t="s">
        <v>37</v>
      </c>
      <c r="C13" s="5">
        <v>95500000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5">
        <f t="shared" si="1"/>
        <v>95500000</v>
      </c>
    </row>
    <row r="14" spans="2:17">
      <c r="B14" s="33" t="s">
        <v>38</v>
      </c>
      <c r="C14" s="5">
        <v>18000000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5">
        <f t="shared" si="1"/>
        <v>18000000</v>
      </c>
    </row>
    <row r="15" spans="2:17">
      <c r="B15" s="33" t="s">
        <v>40</v>
      </c>
      <c r="C15" s="5">
        <v>5250000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5">
        <f t="shared" si="1"/>
        <v>5250000</v>
      </c>
    </row>
    <row r="16" spans="2:17">
      <c r="B16" s="32" t="s">
        <v>1</v>
      </c>
      <c r="C16" s="4">
        <f>SUM(C17:C19)</f>
        <v>47477000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4">
        <f>SUM(Q17:Q19)</f>
        <v>50227000</v>
      </c>
    </row>
    <row r="17" spans="2:17">
      <c r="B17" s="33" t="s">
        <v>39</v>
      </c>
      <c r="C17" s="5">
        <v>12000000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5">
        <f t="shared" ref="Q17:Q19" si="2">SUM(C17:P17)</f>
        <v>12000000</v>
      </c>
    </row>
    <row r="18" spans="2:17">
      <c r="B18" s="33" t="s">
        <v>41</v>
      </c>
      <c r="C18" s="5">
        <v>19227000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5">
        <f t="shared" si="2"/>
        <v>19227000</v>
      </c>
    </row>
    <row r="19" spans="2:17">
      <c r="B19" s="33" t="s">
        <v>42</v>
      </c>
      <c r="C19" s="5">
        <v>16250000</v>
      </c>
      <c r="D19" s="28"/>
      <c r="E19" s="28"/>
      <c r="F19" s="28">
        <f>+'Ajuste 03'!D22</f>
        <v>2750000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5">
        <f t="shared" si="2"/>
        <v>19000000</v>
      </c>
    </row>
    <row r="20" spans="2:17" hidden="1">
      <c r="B20" s="34" t="s">
        <v>2</v>
      </c>
      <c r="C20" s="3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3"/>
    </row>
    <row r="21" spans="2:17">
      <c r="B21" s="32" t="s">
        <v>3</v>
      </c>
      <c r="C21" s="4">
        <f>SUM(C22:C24)</f>
        <v>68009623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4">
        <f>SUM(Q22:Q24)</f>
        <v>67225090</v>
      </c>
    </row>
    <row r="22" spans="2:17">
      <c r="B22" s="33" t="s">
        <v>43</v>
      </c>
      <c r="C22" s="5">
        <v>58680450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5">
        <f>SUM(C22:P22)</f>
        <v>58680450</v>
      </c>
    </row>
    <row r="23" spans="2:17">
      <c r="B23" s="33" t="s">
        <v>44</v>
      </c>
      <c r="C23" s="5">
        <v>-3520827</v>
      </c>
      <c r="D23" s="28"/>
      <c r="E23" s="28"/>
      <c r="F23" s="28"/>
      <c r="G23" s="28">
        <f>-'Ajuste 04'!D25</f>
        <v>-784533</v>
      </c>
      <c r="H23" s="28"/>
      <c r="I23" s="28"/>
      <c r="J23" s="28"/>
      <c r="K23" s="28"/>
      <c r="L23" s="28"/>
      <c r="M23" s="28"/>
      <c r="N23" s="28"/>
      <c r="O23" s="28"/>
      <c r="P23" s="28"/>
      <c r="Q23" s="5">
        <f>SUM(C23:P23)</f>
        <v>-4305360</v>
      </c>
    </row>
    <row r="24" spans="2:17">
      <c r="B24" s="33" t="s">
        <v>50</v>
      </c>
      <c r="C24" s="5">
        <v>12850000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5">
        <f>SUM(C24:P24)</f>
        <v>12850000</v>
      </c>
    </row>
    <row r="25" spans="2:17">
      <c r="B25" s="32" t="s">
        <v>4</v>
      </c>
      <c r="C25" s="4">
        <f>SUM(C26:C28)</f>
        <v>108288837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">
        <f>SUM(Q26:Q28)</f>
        <v>103642300</v>
      </c>
    </row>
    <row r="26" spans="2:17">
      <c r="B26" s="33" t="s">
        <v>45</v>
      </c>
      <c r="C26" s="5">
        <v>60530000</v>
      </c>
      <c r="D26" s="28"/>
      <c r="E26" s="28">
        <v>-2850890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5">
        <f t="shared" ref="Q26:Q31" si="3">SUM(C26:P26)</f>
        <v>57679110</v>
      </c>
    </row>
    <row r="27" spans="2:17">
      <c r="B27" s="33" t="s">
        <v>46</v>
      </c>
      <c r="C27" s="5">
        <v>53458250</v>
      </c>
      <c r="D27" s="28"/>
      <c r="E27" s="28">
        <v>-1795647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5">
        <f t="shared" si="3"/>
        <v>51662603</v>
      </c>
    </row>
    <row r="28" spans="2:17">
      <c r="B28" s="33" t="s">
        <v>47</v>
      </c>
      <c r="C28" s="5">
        <v>-5699413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5">
        <f t="shared" si="3"/>
        <v>-5699413</v>
      </c>
    </row>
    <row r="29" spans="2:17">
      <c r="B29" s="32" t="s">
        <v>5</v>
      </c>
      <c r="C29" s="4">
        <f>+C30+C31</f>
        <v>13510570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4">
        <f>+Q30+Q31</f>
        <v>13510570</v>
      </c>
    </row>
    <row r="30" spans="2:17">
      <c r="B30" s="33" t="s">
        <v>48</v>
      </c>
      <c r="C30" s="5">
        <v>8250000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5">
        <f t="shared" si="3"/>
        <v>8250000</v>
      </c>
    </row>
    <row r="31" spans="2:17">
      <c r="B31" s="33" t="s">
        <v>49</v>
      </c>
      <c r="C31" s="5">
        <v>5260570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5">
        <f t="shared" si="3"/>
        <v>5260570</v>
      </c>
    </row>
    <row r="32" spans="2:17">
      <c r="B32" s="32" t="s">
        <v>6</v>
      </c>
      <c r="C32" s="4">
        <f>+C29+C25+C21+C16+C11</f>
        <v>371536030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">
        <f>+Q29+Q25+Q21+Q16+Q11</f>
        <v>368854960</v>
      </c>
    </row>
    <row r="33" spans="2:17">
      <c r="B33" s="35" t="s">
        <v>29</v>
      </c>
      <c r="C33" s="3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"/>
    </row>
    <row r="34" spans="2:17">
      <c r="B34" s="32" t="s">
        <v>7</v>
      </c>
      <c r="C34" s="4">
        <f>+C35+C36</f>
        <v>27099750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4">
        <f>+Q35+Q36</f>
        <v>35650000</v>
      </c>
    </row>
    <row r="35" spans="2:17">
      <c r="B35" s="33" t="s">
        <v>67</v>
      </c>
      <c r="C35" s="5">
        <v>35650000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5">
        <f t="shared" ref="Q35:Q55" si="4">SUM(C35:P35)</f>
        <v>35650000</v>
      </c>
    </row>
    <row r="36" spans="2:17">
      <c r="B36" s="33" t="s">
        <v>68</v>
      </c>
      <c r="C36" s="5">
        <v>-8550250</v>
      </c>
      <c r="D36" s="28">
        <f>-C36</f>
        <v>8550250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5">
        <f t="shared" si="4"/>
        <v>0</v>
      </c>
    </row>
    <row r="37" spans="2:17">
      <c r="B37" s="32" t="s">
        <v>8</v>
      </c>
      <c r="C37" s="4">
        <f>+C38+C39</f>
        <v>2421189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4">
        <f>+Q38+Q39</f>
        <v>2421189</v>
      </c>
    </row>
    <row r="38" spans="2:17">
      <c r="B38" s="33" t="s">
        <v>57</v>
      </c>
      <c r="C38" s="5">
        <v>3239358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5">
        <f t="shared" si="4"/>
        <v>3239358</v>
      </c>
    </row>
    <row r="39" spans="2:17">
      <c r="B39" s="33" t="s">
        <v>66</v>
      </c>
      <c r="C39" s="5">
        <v>-818169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5">
        <f t="shared" si="4"/>
        <v>-818169</v>
      </c>
    </row>
    <row r="40" spans="2:17">
      <c r="B40" s="32" t="s">
        <v>9</v>
      </c>
      <c r="C40" s="4">
        <f>SUM(C41:C53)</f>
        <v>174323166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4">
        <f>SUM(Q41:Q53)</f>
        <v>587471318</v>
      </c>
    </row>
    <row r="41" spans="2:17">
      <c r="B41" s="33" t="s">
        <v>51</v>
      </c>
      <c r="C41" s="5">
        <f>9279378+11599223+6959534</f>
        <v>27838135</v>
      </c>
      <c r="D41" s="28"/>
      <c r="E41" s="28"/>
      <c r="F41" s="28"/>
      <c r="G41" s="28"/>
      <c r="H41" s="28">
        <f>+'Ajuste 05'!E21</f>
        <v>365132214</v>
      </c>
      <c r="I41" s="28"/>
      <c r="J41" s="28"/>
      <c r="K41" s="28"/>
      <c r="L41" s="28"/>
      <c r="M41" s="28"/>
      <c r="N41" s="28"/>
      <c r="O41" s="28"/>
      <c r="P41" s="28"/>
      <c r="Q41" s="5">
        <f t="shared" si="4"/>
        <v>392970349</v>
      </c>
    </row>
    <row r="42" spans="2:17">
      <c r="B42" s="33" t="s">
        <v>53</v>
      </c>
      <c r="C42" s="5">
        <f>169641665+3602930</f>
        <v>173244595</v>
      </c>
      <c r="D42" s="28"/>
      <c r="E42" s="28"/>
      <c r="F42" s="28"/>
      <c r="G42" s="28"/>
      <c r="H42" s="28"/>
      <c r="I42" s="28">
        <f>+'Ajuste 06'!G20</f>
        <v>29343760</v>
      </c>
      <c r="J42" s="28">
        <f>+'Ajuste 06'!D20</f>
        <v>-56606845</v>
      </c>
      <c r="K42" s="28"/>
      <c r="L42" s="28"/>
      <c r="M42" s="28"/>
      <c r="N42" s="28"/>
      <c r="O42" s="28"/>
      <c r="P42" s="28"/>
      <c r="Q42" s="5">
        <f t="shared" si="4"/>
        <v>145981510</v>
      </c>
    </row>
    <row r="43" spans="2:17">
      <c r="B43" s="33" t="s">
        <v>54</v>
      </c>
      <c r="C43" s="5">
        <v>56167679</v>
      </c>
      <c r="D43" s="28"/>
      <c r="E43" s="28"/>
      <c r="F43" s="28"/>
      <c r="G43" s="28"/>
      <c r="H43" s="28"/>
      <c r="I43" s="28"/>
      <c r="J43" s="28"/>
      <c r="K43" s="28"/>
      <c r="L43" s="28"/>
      <c r="M43" s="28">
        <f>+'Ajuste 09'!E55</f>
        <v>1613761</v>
      </c>
      <c r="N43" s="28"/>
      <c r="O43" s="28"/>
      <c r="P43" s="28"/>
      <c r="Q43" s="5">
        <f t="shared" si="4"/>
        <v>57781440</v>
      </c>
    </row>
    <row r="44" spans="2:17">
      <c r="B44" s="33" t="s">
        <v>55</v>
      </c>
      <c r="C44" s="5">
        <v>2716635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>
        <f>+'Ajuste 10'!E92</f>
        <v>14570000</v>
      </c>
      <c r="O44" s="28"/>
      <c r="P44" s="28"/>
      <c r="Q44" s="5">
        <f t="shared" si="4"/>
        <v>17286635</v>
      </c>
    </row>
    <row r="45" spans="2:17">
      <c r="B45" s="33" t="s">
        <v>56</v>
      </c>
      <c r="C45" s="5">
        <v>1391310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5">
        <f t="shared" si="4"/>
        <v>1391310</v>
      </c>
    </row>
    <row r="46" spans="2:17">
      <c r="B46" s="33" t="s">
        <v>58</v>
      </c>
      <c r="C46" s="5">
        <v>4870525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5">
        <f t="shared" si="4"/>
        <v>4870525</v>
      </c>
    </row>
    <row r="47" spans="2:17">
      <c r="B47" s="33" t="s">
        <v>59</v>
      </c>
      <c r="C47" s="5">
        <f>10372131-C46</f>
        <v>5501606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5">
        <f t="shared" si="4"/>
        <v>5501606</v>
      </c>
    </row>
    <row r="48" spans="2:17">
      <c r="B48" s="33" t="s">
        <v>60</v>
      </c>
      <c r="C48" s="5">
        <f>-55163734-1443111</f>
        <v>-56606845</v>
      </c>
      <c r="D48" s="28"/>
      <c r="E48" s="28"/>
      <c r="F48" s="28"/>
      <c r="G48" s="28"/>
      <c r="H48" s="28"/>
      <c r="I48" s="28"/>
      <c r="J48" s="28">
        <f>-'Ajuste 06'!D20</f>
        <v>56606845</v>
      </c>
      <c r="K48" s="28"/>
      <c r="L48" s="28"/>
      <c r="M48" s="28"/>
      <c r="N48" s="28"/>
      <c r="O48" s="28"/>
      <c r="P48" s="28"/>
      <c r="Q48" s="5">
        <f t="shared" si="4"/>
        <v>0</v>
      </c>
    </row>
    <row r="49" spans="2:17">
      <c r="B49" s="33" t="s">
        <v>61</v>
      </c>
      <c r="C49" s="5">
        <v>-30412730</v>
      </c>
      <c r="D49" s="28"/>
      <c r="E49" s="28"/>
      <c r="F49" s="28"/>
      <c r="G49" s="28"/>
      <c r="H49" s="28"/>
      <c r="I49" s="28"/>
      <c r="J49" s="28"/>
      <c r="K49" s="28"/>
      <c r="L49" s="28">
        <f>-'Ajuste 08'!E19</f>
        <v>5215350</v>
      </c>
      <c r="M49" s="28">
        <f>-'Ajuste 09'!F57</f>
        <v>-645504</v>
      </c>
      <c r="N49" s="28"/>
      <c r="O49" s="28"/>
      <c r="P49" s="28"/>
      <c r="Q49" s="5">
        <f t="shared" si="4"/>
        <v>-25842884</v>
      </c>
    </row>
    <row r="50" spans="2:17">
      <c r="B50" s="33" t="s">
        <v>62</v>
      </c>
      <c r="C50" s="5">
        <v>-1808999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>
        <f>-'Ajuste 10'!F93</f>
        <v>-2081429</v>
      </c>
      <c r="O50" s="28"/>
      <c r="P50" s="28"/>
      <c r="Q50" s="5">
        <f t="shared" si="4"/>
        <v>-3890428</v>
      </c>
    </row>
    <row r="51" spans="2:17">
      <c r="B51" s="33" t="s">
        <v>63</v>
      </c>
      <c r="C51" s="5">
        <v>-1190513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5">
        <f t="shared" si="4"/>
        <v>-1190513</v>
      </c>
    </row>
    <row r="52" spans="2:17">
      <c r="B52" s="33" t="s">
        <v>64</v>
      </c>
      <c r="C52" s="5">
        <v>-2790560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5">
        <f t="shared" si="4"/>
        <v>-2790560</v>
      </c>
    </row>
    <row r="53" spans="2:17">
      <c r="B53" s="33" t="s">
        <v>65</v>
      </c>
      <c r="C53" s="5">
        <f>-7388232+2790560</f>
        <v>-4597672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5">
        <f t="shared" si="4"/>
        <v>-4597672</v>
      </c>
    </row>
    <row r="54" spans="2:17">
      <c r="B54" s="32" t="s">
        <v>10</v>
      </c>
      <c r="C54" s="4">
        <f>+C55</f>
        <v>18558757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4">
        <f>+Q55</f>
        <v>250832138</v>
      </c>
    </row>
    <row r="55" spans="2:17">
      <c r="B55" s="33" t="s">
        <v>52</v>
      </c>
      <c r="C55" s="5">
        <v>18558757</v>
      </c>
      <c r="D55" s="28"/>
      <c r="E55" s="28"/>
      <c r="F55" s="28"/>
      <c r="G55" s="28"/>
      <c r="H55" s="28"/>
      <c r="I55" s="28"/>
      <c r="J55" s="28"/>
      <c r="K55" s="28">
        <f>+'Ajuste 07'!E18</f>
        <v>232273381</v>
      </c>
      <c r="L55" s="28"/>
      <c r="M55" s="28"/>
      <c r="N55" s="28"/>
      <c r="O55" s="28"/>
      <c r="P55" s="28"/>
      <c r="Q55" s="5">
        <f t="shared" si="4"/>
        <v>250832138</v>
      </c>
    </row>
    <row r="56" spans="2:17">
      <c r="B56" s="32" t="s">
        <v>11</v>
      </c>
      <c r="C56" s="4">
        <f>+C54+C40+C37+C34</f>
        <v>222402862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4">
        <f>+Q54+Q40+Q37+Q34</f>
        <v>876374645</v>
      </c>
    </row>
    <row r="57" spans="2:17">
      <c r="B57" s="35" t="s">
        <v>12</v>
      </c>
      <c r="C57" s="4">
        <f>+C56+C32</f>
        <v>593938892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4">
        <f>+Q56+Q32</f>
        <v>1245229605</v>
      </c>
    </row>
    <row r="58" spans="2:17">
      <c r="B58" s="36" t="s">
        <v>30</v>
      </c>
      <c r="C58" s="3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3"/>
    </row>
    <row r="59" spans="2:17">
      <c r="B59" s="35" t="s">
        <v>31</v>
      </c>
      <c r="C59" s="3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3"/>
    </row>
    <row r="60" spans="2:17">
      <c r="B60" s="32" t="s">
        <v>32</v>
      </c>
      <c r="C60" s="3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3"/>
    </row>
    <row r="61" spans="2:17">
      <c r="B61" s="37" t="s">
        <v>13</v>
      </c>
      <c r="C61" s="4">
        <f>+C62+C63</f>
        <v>-49669792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4">
        <f>+Q62+Q63</f>
        <v>-51011616.794161677</v>
      </c>
    </row>
    <row r="62" spans="2:17">
      <c r="B62" s="38" t="s">
        <v>69</v>
      </c>
      <c r="C62" s="5">
        <v>-49669792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>
        <f>+'Ajuste 12'!E75</f>
        <v>1916422.2058383226</v>
      </c>
      <c r="Q62" s="5">
        <f t="shared" ref="Q62:Q63" si="5">SUM(C62:P62)</f>
        <v>-47753369.794161677</v>
      </c>
    </row>
    <row r="63" spans="2:17">
      <c r="B63" s="38" t="s">
        <v>218</v>
      </c>
      <c r="C63" s="5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>
        <f>-'Ajuste 10'!F94</f>
        <v>-3258247</v>
      </c>
      <c r="O63" s="28"/>
      <c r="P63" s="28"/>
      <c r="Q63" s="5">
        <f t="shared" si="5"/>
        <v>-3258247</v>
      </c>
    </row>
    <row r="64" spans="2:17">
      <c r="B64" s="37" t="s">
        <v>14</v>
      </c>
      <c r="C64" s="4">
        <f>+C65</f>
        <v>-36850680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4">
        <f>+Q65</f>
        <v>-36850680</v>
      </c>
    </row>
    <row r="65" spans="2:17">
      <c r="B65" s="38" t="s">
        <v>71</v>
      </c>
      <c r="C65" s="5">
        <v>-36850680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5">
        <f t="shared" ref="Q65:Q68" si="6">SUM(C65:P65)</f>
        <v>-36850680</v>
      </c>
    </row>
    <row r="66" spans="2:17">
      <c r="B66" s="37" t="s">
        <v>15</v>
      </c>
      <c r="C66" s="4">
        <f>+C67+C68</f>
        <v>-14000000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4">
        <f>+Q67+Q68</f>
        <v>0</v>
      </c>
    </row>
    <row r="67" spans="2:17">
      <c r="B67" s="38" t="s">
        <v>72</v>
      </c>
      <c r="C67" s="6">
        <v>-6000000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>
        <f>+'Ajuste 11'!E24</f>
        <v>6000000</v>
      </c>
      <c r="P67" s="28"/>
      <c r="Q67" s="5">
        <f t="shared" si="6"/>
        <v>0</v>
      </c>
    </row>
    <row r="68" spans="2:17">
      <c r="B68" s="38" t="s">
        <v>73</v>
      </c>
      <c r="C68" s="6">
        <v>-8000000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>
        <f>+'Ajuste 11'!E25</f>
        <v>8000000</v>
      </c>
      <c r="P68" s="28"/>
      <c r="Q68" s="5">
        <f t="shared" si="6"/>
        <v>0</v>
      </c>
    </row>
    <row r="69" spans="2:17">
      <c r="B69" s="37" t="s">
        <v>16</v>
      </c>
      <c r="C69" s="3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3"/>
    </row>
    <row r="70" spans="2:17">
      <c r="B70" s="37" t="s">
        <v>17</v>
      </c>
      <c r="C70" s="4">
        <f>+C66+C64+C61</f>
        <v>-100520472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4">
        <f>+Q66+Q64+Q61</f>
        <v>-87862296.794161677</v>
      </c>
    </row>
    <row r="71" spans="2:17">
      <c r="B71" s="32" t="s">
        <v>33</v>
      </c>
      <c r="C71" s="3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3"/>
    </row>
    <row r="72" spans="2:17">
      <c r="B72" s="37" t="s">
        <v>18</v>
      </c>
      <c r="C72" s="4">
        <f>+C73+C74</f>
        <v>-30663974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4">
        <f>+Q73+Q74</f>
        <v>-38796863.921871819</v>
      </c>
    </row>
    <row r="73" spans="2:17">
      <c r="B73" s="38" t="s">
        <v>70</v>
      </c>
      <c r="C73" s="5">
        <v>-30663974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>
        <f>+'Ajuste 12'!E76</f>
        <v>355109.0781281814</v>
      </c>
      <c r="Q73" s="5">
        <f t="shared" ref="Q73:Q76" si="7">SUM(C73:P73)</f>
        <v>-30308864.921871819</v>
      </c>
    </row>
    <row r="74" spans="2:17">
      <c r="B74" s="38" t="s">
        <v>219</v>
      </c>
      <c r="C74" s="5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>
        <f>-'Ajuste 10'!F95</f>
        <v>-8487999</v>
      </c>
      <c r="O74" s="28"/>
      <c r="P74" s="28"/>
      <c r="Q74" s="5">
        <f t="shared" si="7"/>
        <v>-8487999</v>
      </c>
    </row>
    <row r="75" spans="2:17">
      <c r="B75" s="37" t="s">
        <v>192</v>
      </c>
      <c r="C75" s="5">
        <f>+C76</f>
        <v>0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4">
        <f>+Q76</f>
        <v>-2037336</v>
      </c>
    </row>
    <row r="76" spans="2:17">
      <c r="B76" s="38" t="s">
        <v>188</v>
      </c>
      <c r="C76" s="5"/>
      <c r="D76" s="28"/>
      <c r="E76" s="28"/>
      <c r="F76" s="28"/>
      <c r="G76" s="28"/>
      <c r="H76" s="28"/>
      <c r="I76" s="28"/>
      <c r="J76" s="28"/>
      <c r="K76" s="28"/>
      <c r="L76" s="28"/>
      <c r="M76" s="28">
        <f>-'Ajuste 09'!F58</f>
        <v>-2037336</v>
      </c>
      <c r="N76" s="28"/>
      <c r="O76" s="28"/>
      <c r="P76" s="28"/>
      <c r="Q76" s="5">
        <f t="shared" si="7"/>
        <v>-2037336</v>
      </c>
    </row>
    <row r="77" spans="2:17">
      <c r="B77" s="37" t="s">
        <v>19</v>
      </c>
      <c r="C77" s="4">
        <f>+C72</f>
        <v>-30663974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4">
        <f>+Q72+Q75</f>
        <v>-40834199.921871819</v>
      </c>
    </row>
    <row r="78" spans="2:17">
      <c r="B78" s="32" t="s">
        <v>20</v>
      </c>
      <c r="C78" s="4">
        <f>+C77+C70</f>
        <v>-131184446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4">
        <f>+Q77+Q70</f>
        <v>-128696496.71603349</v>
      </c>
    </row>
    <row r="79" spans="2:17">
      <c r="B79" s="35" t="s">
        <v>34</v>
      </c>
      <c r="C79" s="3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3"/>
    </row>
    <row r="80" spans="2:17">
      <c r="B80" s="32" t="s">
        <v>21</v>
      </c>
      <c r="C80" s="4">
        <f>+C81</f>
        <v>-150000000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4">
        <f>+Q81</f>
        <v>-150000000</v>
      </c>
    </row>
    <row r="81" spans="2:17">
      <c r="B81" s="38" t="s">
        <v>74</v>
      </c>
      <c r="C81" s="5">
        <v>-150000000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5">
        <f t="shared" ref="Q81:Q84" si="8">SUM(C81:P81)</f>
        <v>-150000000</v>
      </c>
    </row>
    <row r="82" spans="2:17">
      <c r="B82" s="32" t="s">
        <v>22</v>
      </c>
      <c r="C82" s="4">
        <f>+C83+C84</f>
        <v>-254404446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4">
        <f>+Q83+Q84+Q85</f>
        <v>-908183108.28396654</v>
      </c>
    </row>
    <row r="83" spans="2:17">
      <c r="B83" s="38" t="s">
        <v>75</v>
      </c>
      <c r="C83" s="5">
        <v>-153896500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5">
        <f t="shared" si="8"/>
        <v>-153896500</v>
      </c>
    </row>
    <row r="84" spans="2:17">
      <c r="B84" s="38" t="s">
        <v>76</v>
      </c>
      <c r="C84" s="5">
        <v>-100507946</v>
      </c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5">
        <f t="shared" si="8"/>
        <v>-100507946</v>
      </c>
    </row>
    <row r="85" spans="2:17" s="29" customFormat="1">
      <c r="B85" s="39" t="s">
        <v>79</v>
      </c>
      <c r="C85" s="30"/>
      <c r="D85" s="31">
        <f>-D36</f>
        <v>-8550250</v>
      </c>
      <c r="E85" s="31">
        <v>4646537</v>
      </c>
      <c r="F85" s="31">
        <v>-2750000</v>
      </c>
      <c r="G85" s="31">
        <v>784533</v>
      </c>
      <c r="H85" s="31">
        <v>-365132214</v>
      </c>
      <c r="I85" s="31">
        <v>-29343760</v>
      </c>
      <c r="J85" s="31"/>
      <c r="K85" s="31">
        <v>-232273381</v>
      </c>
      <c r="L85" s="31">
        <v>-5215350</v>
      </c>
      <c r="M85" s="31">
        <v>1069079</v>
      </c>
      <c r="N85" s="31">
        <v>-742325</v>
      </c>
      <c r="O85" s="31">
        <f>-'Ajuste 11'!F26</f>
        <v>-14000000</v>
      </c>
      <c r="P85" s="31">
        <f>-'Ajuste 12'!F77</f>
        <v>-2271531.283966504</v>
      </c>
      <c r="Q85" s="44">
        <f>SUM(C85:P85)</f>
        <v>-653778662.28396654</v>
      </c>
    </row>
    <row r="86" spans="2:17">
      <c r="B86" s="32" t="s">
        <v>23</v>
      </c>
      <c r="C86" s="4">
        <f>+C87</f>
        <v>-58350000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4">
        <f>+Q87</f>
        <v>-58350000</v>
      </c>
    </row>
    <row r="87" spans="2:17">
      <c r="B87" s="38" t="s">
        <v>77</v>
      </c>
      <c r="C87" s="5">
        <v>-58350000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5">
        <f t="shared" ref="Q87" si="9">SUM(C87:P87)</f>
        <v>-58350000</v>
      </c>
    </row>
    <row r="88" spans="2:17">
      <c r="B88" s="32" t="s">
        <v>24</v>
      </c>
      <c r="C88" s="4">
        <f>+C86+C82+C80</f>
        <v>-462754446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4">
        <f>+Q86+Q82+Q80</f>
        <v>-1116533108.2839665</v>
      </c>
    </row>
    <row r="89" spans="2:17">
      <c r="B89" s="40" t="s">
        <v>25</v>
      </c>
      <c r="C89" s="7">
        <f>+C88+C78</f>
        <v>-593938892</v>
      </c>
      <c r="D89" s="4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7">
        <f>+Q88+Q78</f>
        <v>-1245229605</v>
      </c>
    </row>
    <row r="90" spans="2:17">
      <c r="C90" s="1">
        <f>+C89+C57</f>
        <v>0</v>
      </c>
      <c r="Q90" s="1">
        <f>+Q89+Q57</f>
        <v>0</v>
      </c>
    </row>
  </sheetData>
  <mergeCells count="1">
    <mergeCell ref="I8:J8"/>
  </mergeCells>
  <hyperlinks>
    <hyperlink ref="B2" r:id="rId1" display="www.ObservatorioIFRS.cl "/>
  </hyperlinks>
  <pageMargins left="0.7" right="0.7" top="0.75" bottom="0.75" header="0.3" footer="0.3"/>
  <pageSetup orientation="portrait" r:id="rId2"/>
  <ignoredErrors>
    <ignoredError sqref="Q16 Q86 Q75 Q66 Q64 Q54 Q37 Q40 Q29 Q2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6"/>
  <sheetViews>
    <sheetView showGridLines="0" zoomScale="140" zoomScaleNormal="140" workbookViewId="0">
      <selection sqref="A1:XFD1048576"/>
    </sheetView>
  </sheetViews>
  <sheetFormatPr baseColWidth="10" defaultColWidth="11.42578125" defaultRowHeight="15"/>
  <cols>
    <col min="1" max="3" width="11.42578125" style="1"/>
    <col min="4" max="4" width="26.28515625" style="1" customWidth="1"/>
    <col min="5" max="6" width="13.28515625" style="1" bestFit="1" customWidth="1"/>
    <col min="7" max="16384" width="11.42578125" style="1"/>
  </cols>
  <sheetData>
    <row r="3" spans="2:6">
      <c r="B3" s="2" t="s">
        <v>120</v>
      </c>
    </row>
    <row r="5" spans="2:6">
      <c r="B5" s="2" t="s">
        <v>81</v>
      </c>
    </row>
    <row r="6" spans="2:6">
      <c r="B6" s="1" t="s">
        <v>164</v>
      </c>
    </row>
    <row r="9" spans="2:6">
      <c r="B9" s="2" t="s">
        <v>83</v>
      </c>
    </row>
    <row r="14" spans="2:6">
      <c r="B14" s="2" t="s">
        <v>85</v>
      </c>
    </row>
    <row r="16" spans="2:6">
      <c r="B16" s="1" t="s">
        <v>165</v>
      </c>
      <c r="E16" s="1">
        <v>2890000</v>
      </c>
      <c r="F16" s="1" t="s">
        <v>293</v>
      </c>
    </row>
    <row r="17" spans="1:10">
      <c r="B17" s="1" t="s">
        <v>166</v>
      </c>
      <c r="E17" s="1">
        <v>10</v>
      </c>
      <c r="F17" s="1" t="s">
        <v>167</v>
      </c>
    </row>
    <row r="18" spans="1:10">
      <c r="B18" s="1" t="s">
        <v>168</v>
      </c>
      <c r="E18" s="14">
        <v>0.06</v>
      </c>
      <c r="F18" s="1" t="s">
        <v>169</v>
      </c>
    </row>
    <row r="19" spans="1:10">
      <c r="B19" s="1" t="s">
        <v>170</v>
      </c>
      <c r="E19" s="1" t="s">
        <v>171</v>
      </c>
    </row>
    <row r="23" spans="1:10">
      <c r="B23" s="1" t="s">
        <v>172</v>
      </c>
    </row>
    <row r="25" spans="1:10">
      <c r="B25" s="8">
        <f>+E16</f>
        <v>2890000</v>
      </c>
      <c r="C25" s="69" t="s">
        <v>173</v>
      </c>
      <c r="D25" s="70">
        <f>ROUND(+B25/B26,0)</f>
        <v>1613761</v>
      </c>
      <c r="E25" s="69" t="s">
        <v>181</v>
      </c>
      <c r="F25" s="69"/>
      <c r="G25" s="69"/>
    </row>
    <row r="26" spans="1:10">
      <c r="A26" s="1" t="s">
        <v>294</v>
      </c>
      <c r="B26" s="22">
        <f>+(1+E18)^E17</f>
        <v>1.7908476965428546</v>
      </c>
      <c r="C26" s="69"/>
      <c r="D26" s="70"/>
      <c r="E26" s="69"/>
      <c r="F26" s="69"/>
      <c r="G26" s="69"/>
    </row>
    <row r="27" spans="1:10">
      <c r="B27" s="1" t="s">
        <v>295</v>
      </c>
    </row>
    <row r="29" spans="1:10">
      <c r="B29" s="2" t="s">
        <v>174</v>
      </c>
    </row>
    <row r="30" spans="1:10">
      <c r="H30" s="59"/>
      <c r="I30" s="59"/>
    </row>
    <row r="31" spans="1:10">
      <c r="B31" s="8" t="s">
        <v>175</v>
      </c>
      <c r="C31" s="8" t="s">
        <v>176</v>
      </c>
      <c r="D31" s="13" t="s">
        <v>177</v>
      </c>
      <c r="E31" s="8" t="s">
        <v>178</v>
      </c>
    </row>
    <row r="32" spans="1:10">
      <c r="B32" s="1">
        <v>1</v>
      </c>
      <c r="C32" s="1">
        <f>+D25</f>
        <v>1613761</v>
      </c>
      <c r="D32" s="1">
        <f>+C32*$E$18</f>
        <v>96825.66</v>
      </c>
      <c r="E32" s="1">
        <f>+C32+D32</f>
        <v>1710586.66</v>
      </c>
      <c r="G32" s="66" t="s">
        <v>171</v>
      </c>
      <c r="H32" s="66"/>
      <c r="I32" s="66" t="s">
        <v>299</v>
      </c>
      <c r="J32" s="66"/>
    </row>
    <row r="33" spans="2:12">
      <c r="B33" s="1">
        <v>2</v>
      </c>
      <c r="C33" s="1">
        <f>ROUND(+E32,0)</f>
        <v>1710587</v>
      </c>
      <c r="D33" s="1">
        <f>+C33*$E$18</f>
        <v>102635.22</v>
      </c>
      <c r="E33" s="1">
        <f>+C33+D33</f>
        <v>1813222.22</v>
      </c>
      <c r="G33" s="58"/>
      <c r="H33" s="8"/>
      <c r="I33" s="58"/>
      <c r="J33" s="8"/>
      <c r="K33" s="8"/>
    </row>
    <row r="34" spans="2:12">
      <c r="B34" s="1">
        <v>3</v>
      </c>
      <c r="C34" s="1">
        <f t="shared" ref="C34:C41" si="0">ROUND(+E33,0)</f>
        <v>1813222</v>
      </c>
      <c r="D34" s="1">
        <f t="shared" ref="D34:D41" si="1">+C34*$E$18</f>
        <v>108793.31999999999</v>
      </c>
      <c r="E34" s="1">
        <f t="shared" ref="E34:E41" si="2">+C34+D34</f>
        <v>1922015.32</v>
      </c>
    </row>
    <row r="35" spans="2:12">
      <c r="B35" s="1">
        <v>4</v>
      </c>
      <c r="C35" s="1">
        <f t="shared" si="0"/>
        <v>1922015</v>
      </c>
      <c r="D35" s="1">
        <f t="shared" si="1"/>
        <v>115320.9</v>
      </c>
      <c r="E35" s="1">
        <f t="shared" si="2"/>
        <v>2037335.9</v>
      </c>
      <c r="G35" s="66">
        <f>+C32</f>
        <v>1613761</v>
      </c>
      <c r="H35" s="66"/>
    </row>
    <row r="36" spans="2:12">
      <c r="B36" s="1">
        <v>5</v>
      </c>
      <c r="C36" s="2">
        <f t="shared" si="0"/>
        <v>2037336</v>
      </c>
      <c r="D36" s="1">
        <f t="shared" si="1"/>
        <v>122240.15999999999</v>
      </c>
      <c r="E36" s="1">
        <f t="shared" si="2"/>
        <v>2159576.16</v>
      </c>
      <c r="H36" s="1" t="s">
        <v>300</v>
      </c>
      <c r="J36" s="1">
        <f>+G35</f>
        <v>1613761</v>
      </c>
    </row>
    <row r="37" spans="2:12">
      <c r="B37" s="1">
        <v>6</v>
      </c>
      <c r="C37" s="1">
        <f t="shared" si="0"/>
        <v>2159576</v>
      </c>
      <c r="D37" s="1">
        <f t="shared" si="1"/>
        <v>129574.56</v>
      </c>
      <c r="E37" s="1">
        <f t="shared" si="2"/>
        <v>2289150.56</v>
      </c>
      <c r="H37" s="1" t="s">
        <v>302</v>
      </c>
      <c r="J37" s="1">
        <f>+J36/10*4</f>
        <v>645504.4</v>
      </c>
    </row>
    <row r="38" spans="2:12">
      <c r="B38" s="1">
        <v>7</v>
      </c>
      <c r="C38" s="1">
        <f t="shared" si="0"/>
        <v>2289151</v>
      </c>
      <c r="D38" s="1">
        <f t="shared" si="1"/>
        <v>137349.06</v>
      </c>
      <c r="E38" s="1">
        <f t="shared" si="2"/>
        <v>2426500.06</v>
      </c>
      <c r="H38" s="1" t="s">
        <v>301</v>
      </c>
      <c r="J38" s="1">
        <f>+C36</f>
        <v>2037336</v>
      </c>
      <c r="K38" s="14">
        <f>+(1+0.06)^4</f>
        <v>1.2624769600000003</v>
      </c>
      <c r="L38" s="1">
        <f>+J36*K38</f>
        <v>2037336.0814465606</v>
      </c>
    </row>
    <row r="39" spans="2:12">
      <c r="B39" s="1">
        <v>8</v>
      </c>
      <c r="C39" s="1">
        <f t="shared" si="0"/>
        <v>2426500</v>
      </c>
      <c r="D39" s="1">
        <f t="shared" si="1"/>
        <v>145590</v>
      </c>
      <c r="E39" s="1">
        <f t="shared" si="2"/>
        <v>2572090</v>
      </c>
      <c r="G39" s="1" t="s">
        <v>296</v>
      </c>
    </row>
    <row r="40" spans="2:12">
      <c r="B40" s="1">
        <v>9</v>
      </c>
      <c r="C40" s="1">
        <f t="shared" si="0"/>
        <v>2572090</v>
      </c>
      <c r="D40" s="1">
        <f t="shared" si="1"/>
        <v>154325.4</v>
      </c>
      <c r="E40" s="1">
        <f t="shared" si="2"/>
        <v>2726415.4</v>
      </c>
      <c r="G40" s="1" t="s">
        <v>297</v>
      </c>
      <c r="I40" s="1">
        <f>+C46</f>
        <v>1613761</v>
      </c>
    </row>
    <row r="41" spans="2:12">
      <c r="B41" s="8">
        <v>10</v>
      </c>
      <c r="C41" s="8">
        <f t="shared" si="0"/>
        <v>2726415</v>
      </c>
      <c r="D41" s="8">
        <f t="shared" si="1"/>
        <v>163584.9</v>
      </c>
      <c r="E41" s="23">
        <f t="shared" si="2"/>
        <v>2889999.9</v>
      </c>
      <c r="G41" s="1" t="s">
        <v>298</v>
      </c>
      <c r="J41" s="1">
        <f>+I40</f>
        <v>1613761</v>
      </c>
    </row>
    <row r="42" spans="2:12">
      <c r="E42" s="2"/>
    </row>
    <row r="43" spans="2:12">
      <c r="E43" s="2"/>
    </row>
    <row r="44" spans="2:12">
      <c r="B44" s="1" t="s">
        <v>179</v>
      </c>
      <c r="E44" s="2"/>
    </row>
    <row r="45" spans="2:12">
      <c r="E45" s="2"/>
    </row>
    <row r="46" spans="2:12">
      <c r="C46" s="1">
        <f>+C32</f>
        <v>1613761</v>
      </c>
      <c r="D46" s="21">
        <f>+(1+E18)^4</f>
        <v>1.2624769600000003</v>
      </c>
      <c r="E46" s="2">
        <f>+C46*D46</f>
        <v>2037336.0814465606</v>
      </c>
      <c r="F46" s="1" t="s">
        <v>180</v>
      </c>
    </row>
    <row r="47" spans="2:12">
      <c r="E47" s="2"/>
    </row>
    <row r="48" spans="2:12">
      <c r="B48" s="1" t="s">
        <v>182</v>
      </c>
      <c r="E48" s="2"/>
    </row>
    <row r="49" spans="2:8">
      <c r="E49" s="2"/>
    </row>
    <row r="50" spans="2:8">
      <c r="B50" s="1" t="s">
        <v>183</v>
      </c>
      <c r="E50" s="23">
        <f>+D25</f>
        <v>1613761</v>
      </c>
      <c r="F50" s="69" t="s">
        <v>184</v>
      </c>
      <c r="G50" s="2">
        <f>ROUND(+E50/E51*4,0)</f>
        <v>645504</v>
      </c>
      <c r="H50" s="1" t="s">
        <v>185</v>
      </c>
    </row>
    <row r="51" spans="2:8">
      <c r="E51" s="24">
        <v>10</v>
      </c>
      <c r="F51" s="69"/>
    </row>
    <row r="54" spans="2:8">
      <c r="B54" s="23" t="s">
        <v>86</v>
      </c>
      <c r="C54" s="23"/>
      <c r="D54" s="23"/>
      <c r="E54" s="23" t="s">
        <v>88</v>
      </c>
      <c r="F54" s="23" t="s">
        <v>89</v>
      </c>
    </row>
    <row r="55" spans="2:8">
      <c r="B55" s="68" t="s">
        <v>186</v>
      </c>
      <c r="C55" s="68"/>
      <c r="E55" s="1">
        <f>ROUND(+D25,0)</f>
        <v>1613761</v>
      </c>
    </row>
    <row r="56" spans="2:8">
      <c r="B56" s="25" t="s">
        <v>79</v>
      </c>
      <c r="C56" s="25"/>
      <c r="E56" s="1">
        <f>ROUND(+F57+F58-E55,0)</f>
        <v>1069079</v>
      </c>
    </row>
    <row r="57" spans="2:8">
      <c r="C57" s="1" t="s">
        <v>187</v>
      </c>
      <c r="F57" s="1">
        <f>ROUND(+G50,0)</f>
        <v>645504</v>
      </c>
    </row>
    <row r="58" spans="2:8">
      <c r="C58" s="1" t="s">
        <v>188</v>
      </c>
      <c r="F58" s="1">
        <f>ROUND(+E46,0)</f>
        <v>2037336</v>
      </c>
    </row>
    <row r="62" spans="2:8">
      <c r="B62" s="1" t="s">
        <v>189</v>
      </c>
    </row>
    <row r="64" spans="2:8">
      <c r="B64" s="1" t="s">
        <v>190</v>
      </c>
      <c r="E64" s="1">
        <f>+G50</f>
        <v>645504</v>
      </c>
      <c r="F64" s="1">
        <f>+E55/10*4</f>
        <v>645504.4</v>
      </c>
    </row>
    <row r="65" spans="2:7">
      <c r="B65" s="1" t="s">
        <v>191</v>
      </c>
      <c r="E65" s="1">
        <f>SUM(D32:D35)</f>
        <v>423575.1</v>
      </c>
      <c r="F65" s="14">
        <f>+((1+0.06)^4)-1</f>
        <v>0.26247696000000031</v>
      </c>
      <c r="G65" s="1">
        <f>+E55*F65</f>
        <v>423575.08144656051</v>
      </c>
    </row>
    <row r="66" spans="2:7">
      <c r="E66" s="1">
        <f>+E64+E65</f>
        <v>1069079.1000000001</v>
      </c>
    </row>
  </sheetData>
  <mergeCells count="8">
    <mergeCell ref="I32:J32"/>
    <mergeCell ref="G32:H32"/>
    <mergeCell ref="G35:H35"/>
    <mergeCell ref="B55:C55"/>
    <mergeCell ref="C25:C26"/>
    <mergeCell ref="D25:D26"/>
    <mergeCell ref="E25:G26"/>
    <mergeCell ref="F50:F5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A96"/>
  <sheetViews>
    <sheetView showGridLines="0" zoomScale="150" zoomScaleNormal="150" workbookViewId="0">
      <selection sqref="A1:XFD1048576"/>
    </sheetView>
  </sheetViews>
  <sheetFormatPr baseColWidth="10" defaultColWidth="11.42578125" defaultRowHeight="15"/>
  <cols>
    <col min="1" max="2" width="11.42578125" style="1"/>
    <col min="3" max="3" width="11.7109375" style="1" bestFit="1" customWidth="1"/>
    <col min="4" max="4" width="26.28515625" style="1" customWidth="1"/>
    <col min="5" max="6" width="13.28515625" style="1" bestFit="1" customWidth="1"/>
    <col min="7" max="7" width="11.7109375" style="1" bestFit="1" customWidth="1"/>
    <col min="8" max="16384" width="11.42578125" style="1"/>
  </cols>
  <sheetData>
    <row r="3" spans="2:4">
      <c r="B3" s="2" t="s">
        <v>121</v>
      </c>
    </row>
    <row r="5" spans="2:4">
      <c r="B5" s="2" t="s">
        <v>81</v>
      </c>
    </row>
    <row r="6" spans="2:4">
      <c r="B6" s="1" t="s">
        <v>194</v>
      </c>
    </row>
    <row r="9" spans="2:4">
      <c r="B9" s="2" t="s">
        <v>83</v>
      </c>
    </row>
    <row r="11" spans="2:4">
      <c r="B11" s="1" t="s">
        <v>285</v>
      </c>
    </row>
    <row r="12" spans="2:4">
      <c r="B12" s="1" t="s">
        <v>286</v>
      </c>
    </row>
    <row r="14" spans="2:4">
      <c r="B14" s="2" t="s">
        <v>85</v>
      </c>
    </row>
    <row r="16" spans="2:4">
      <c r="B16" s="1" t="s">
        <v>195</v>
      </c>
      <c r="D16" s="1">
        <v>14570000</v>
      </c>
    </row>
    <row r="17" spans="2:53">
      <c r="B17" s="1" t="s">
        <v>196</v>
      </c>
      <c r="D17" s="1">
        <v>48</v>
      </c>
      <c r="E17" s="1" t="s">
        <v>197</v>
      </c>
    </row>
    <row r="18" spans="2:53">
      <c r="B18" s="1" t="s">
        <v>198</v>
      </c>
      <c r="D18" s="1">
        <v>395000</v>
      </c>
      <c r="E18" s="1" t="s">
        <v>197</v>
      </c>
    </row>
    <row r="19" spans="2:53">
      <c r="B19" s="1" t="s">
        <v>199</v>
      </c>
      <c r="D19" s="1">
        <v>395000</v>
      </c>
    </row>
    <row r="20" spans="2:53">
      <c r="B20" s="1" t="s">
        <v>168</v>
      </c>
    </row>
    <row r="22" spans="2:53">
      <c r="B22" s="1" t="s">
        <v>200</v>
      </c>
      <c r="E22" s="1" t="s">
        <v>202</v>
      </c>
    </row>
    <row r="23" spans="2:53">
      <c r="D23" s="1" t="s">
        <v>201</v>
      </c>
      <c r="E23" s="1">
        <v>1</v>
      </c>
      <c r="F23" s="1">
        <v>2</v>
      </c>
      <c r="G23" s="1">
        <v>3</v>
      </c>
      <c r="H23" s="1">
        <v>4</v>
      </c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1">
        <v>12</v>
      </c>
      <c r="Q23" s="1">
        <v>13</v>
      </c>
      <c r="R23" s="1">
        <v>14</v>
      </c>
      <c r="S23" s="1">
        <v>15</v>
      </c>
      <c r="T23" s="1">
        <v>16</v>
      </c>
      <c r="U23" s="1">
        <v>17</v>
      </c>
      <c r="V23" s="1">
        <v>18</v>
      </c>
      <c r="W23" s="1">
        <v>19</v>
      </c>
      <c r="X23" s="1">
        <v>20</v>
      </c>
      <c r="Y23" s="1">
        <v>21</v>
      </c>
      <c r="Z23" s="1">
        <v>22</v>
      </c>
      <c r="AA23" s="1">
        <v>23</v>
      </c>
      <c r="AB23" s="1">
        <v>24</v>
      </c>
      <c r="AC23" s="1">
        <v>25</v>
      </c>
      <c r="AD23" s="1">
        <v>26</v>
      </c>
      <c r="AE23" s="1">
        <v>27</v>
      </c>
      <c r="AF23" s="1">
        <v>28</v>
      </c>
      <c r="AG23" s="1">
        <v>29</v>
      </c>
      <c r="AH23" s="1">
        <v>30</v>
      </c>
      <c r="AI23" s="1">
        <v>31</v>
      </c>
      <c r="AJ23" s="1">
        <v>32</v>
      </c>
      <c r="AK23" s="1">
        <v>33</v>
      </c>
      <c r="AL23" s="1">
        <v>34</v>
      </c>
      <c r="AM23" s="1">
        <v>35</v>
      </c>
      <c r="AN23" s="1">
        <v>36</v>
      </c>
      <c r="AO23" s="1">
        <v>37</v>
      </c>
      <c r="AP23" s="1">
        <v>38</v>
      </c>
      <c r="AQ23" s="1">
        <v>39</v>
      </c>
      <c r="AR23" s="1">
        <v>40</v>
      </c>
      <c r="AS23" s="1">
        <v>41</v>
      </c>
      <c r="AT23" s="1">
        <v>42</v>
      </c>
      <c r="AU23" s="1">
        <v>43</v>
      </c>
      <c r="AV23" s="1">
        <v>44</v>
      </c>
      <c r="AW23" s="1">
        <v>45</v>
      </c>
      <c r="AX23" s="1">
        <v>46</v>
      </c>
      <c r="AY23" s="1">
        <v>47</v>
      </c>
      <c r="AZ23" s="1">
        <v>48</v>
      </c>
      <c r="BA23" s="1">
        <v>49</v>
      </c>
    </row>
    <row r="24" spans="2:53">
      <c r="D24" s="1">
        <f>-D16</f>
        <v>-14570000</v>
      </c>
      <c r="E24" s="1">
        <v>395000</v>
      </c>
      <c r="F24" s="1">
        <v>395000</v>
      </c>
      <c r="G24" s="1">
        <v>395000</v>
      </c>
      <c r="H24" s="1">
        <v>395000</v>
      </c>
      <c r="I24" s="1">
        <v>395000</v>
      </c>
      <c r="J24" s="1">
        <v>395000</v>
      </c>
      <c r="K24" s="1">
        <v>395000</v>
      </c>
      <c r="L24" s="1">
        <v>395000</v>
      </c>
      <c r="M24" s="1">
        <v>395000</v>
      </c>
      <c r="N24" s="1">
        <v>395000</v>
      </c>
      <c r="O24" s="1">
        <v>395000</v>
      </c>
      <c r="P24" s="1">
        <v>395000</v>
      </c>
      <c r="Q24" s="1">
        <v>395000</v>
      </c>
      <c r="R24" s="1">
        <v>395000</v>
      </c>
      <c r="S24" s="1">
        <v>395000</v>
      </c>
      <c r="T24" s="1">
        <v>395000</v>
      </c>
      <c r="U24" s="1">
        <v>395000</v>
      </c>
      <c r="V24" s="1">
        <v>395000</v>
      </c>
      <c r="W24" s="1">
        <v>395000</v>
      </c>
      <c r="X24" s="1">
        <v>395000</v>
      </c>
      <c r="Y24" s="1">
        <v>395000</v>
      </c>
      <c r="Z24" s="1">
        <v>395000</v>
      </c>
      <c r="AA24" s="1">
        <v>395000</v>
      </c>
      <c r="AB24" s="1">
        <v>395000</v>
      </c>
      <c r="AC24" s="1">
        <v>395000</v>
      </c>
      <c r="AD24" s="1">
        <v>395000</v>
      </c>
      <c r="AE24" s="1">
        <v>395000</v>
      </c>
      <c r="AF24" s="1">
        <v>395000</v>
      </c>
      <c r="AG24" s="1">
        <v>395000</v>
      </c>
      <c r="AH24" s="1">
        <v>395000</v>
      </c>
      <c r="AI24" s="1">
        <v>395000</v>
      </c>
      <c r="AJ24" s="1">
        <v>395000</v>
      </c>
      <c r="AK24" s="1">
        <v>395000</v>
      </c>
      <c r="AL24" s="1">
        <v>395000</v>
      </c>
      <c r="AM24" s="1">
        <v>395000</v>
      </c>
      <c r="AN24" s="1">
        <v>395000</v>
      </c>
      <c r="AO24" s="1">
        <v>395000</v>
      </c>
      <c r="AP24" s="1">
        <v>395000</v>
      </c>
      <c r="AQ24" s="1">
        <v>395000</v>
      </c>
      <c r="AR24" s="1">
        <v>395000</v>
      </c>
      <c r="AS24" s="1">
        <v>395000</v>
      </c>
      <c r="AT24" s="1">
        <v>395000</v>
      </c>
      <c r="AU24" s="1">
        <v>395000</v>
      </c>
      <c r="AV24" s="1">
        <v>395000</v>
      </c>
      <c r="AW24" s="1">
        <v>395000</v>
      </c>
      <c r="AX24" s="1">
        <v>395000</v>
      </c>
      <c r="AY24" s="1">
        <v>395000</v>
      </c>
      <c r="AZ24" s="1">
        <v>395000</v>
      </c>
      <c r="BA24" s="1">
        <v>395000</v>
      </c>
    </row>
    <row r="25" spans="2:53">
      <c r="C25" s="1" t="s">
        <v>303</v>
      </c>
      <c r="D25" s="26">
        <f>IRR(D24:BA24)</f>
        <v>1.199824074834166E-2</v>
      </c>
    </row>
    <row r="27" spans="2:53">
      <c r="B27" s="2" t="s">
        <v>203</v>
      </c>
    </row>
    <row r="29" spans="2:53" ht="30">
      <c r="B29" s="13" t="s">
        <v>175</v>
      </c>
      <c r="C29" s="15" t="s">
        <v>204</v>
      </c>
      <c r="D29" s="13" t="s">
        <v>205</v>
      </c>
      <c r="E29" s="13" t="s">
        <v>206</v>
      </c>
      <c r="F29" s="15" t="s">
        <v>207</v>
      </c>
      <c r="G29" s="15" t="s">
        <v>208</v>
      </c>
      <c r="I29" s="55" t="s">
        <v>287</v>
      </c>
      <c r="J29" s="55" t="s">
        <v>288</v>
      </c>
    </row>
    <row r="30" spans="2:53">
      <c r="B30" s="1">
        <v>1</v>
      </c>
      <c r="C30" s="1">
        <f>+D16</f>
        <v>14570000</v>
      </c>
      <c r="D30" s="1">
        <f>+C30*$D$25</f>
        <v>174814.36770333798</v>
      </c>
      <c r="E30" s="1">
        <f>+$E$24</f>
        <v>395000</v>
      </c>
      <c r="F30" s="1">
        <f>+E30-D30</f>
        <v>220185.63229666202</v>
      </c>
      <c r="G30" s="1">
        <f>+C30-F30</f>
        <v>14349814.367703337</v>
      </c>
      <c r="H30" s="60" t="s">
        <v>310</v>
      </c>
      <c r="I30" s="1">
        <f>+E30*12</f>
        <v>4740000</v>
      </c>
      <c r="J30" s="1">
        <f>SUM(D30:D41)</f>
        <v>1916245.6015963815</v>
      </c>
      <c r="K30" s="1" t="s">
        <v>304</v>
      </c>
    </row>
    <row r="31" spans="2:53">
      <c r="B31" s="1">
        <v>2</v>
      </c>
      <c r="C31" s="1">
        <f>+G30</f>
        <v>14349814.367703337</v>
      </c>
      <c r="D31" s="1">
        <f>+C31*$D$25</f>
        <v>172172.52747771679</v>
      </c>
      <c r="E31" s="1">
        <f>+$E$24</f>
        <v>395000</v>
      </c>
      <c r="F31" s="1">
        <f>+E31-D31</f>
        <v>222827.47252228321</v>
      </c>
      <c r="G31" s="1">
        <f>+C31-F31</f>
        <v>14126986.895181054</v>
      </c>
      <c r="I31" s="8"/>
      <c r="J31" s="8">
        <f>+E86</f>
        <v>2081428.5714285714</v>
      </c>
      <c r="K31" s="1" t="s">
        <v>309</v>
      </c>
    </row>
    <row r="32" spans="2:53">
      <c r="B32" s="1">
        <v>3</v>
      </c>
      <c r="C32" s="1">
        <f t="shared" ref="C32:C78" si="0">+G31</f>
        <v>14126986.895181054</v>
      </c>
      <c r="D32" s="1">
        <f t="shared" ref="D32:D78" si="1">+C32*$D$25</f>
        <v>169498.98981704997</v>
      </c>
      <c r="E32" s="1">
        <f t="shared" ref="E32:E78" si="2">+$E$24</f>
        <v>395000</v>
      </c>
      <c r="F32" s="1">
        <f t="shared" ref="F32:F78" si="3">+E32-D32</f>
        <v>225501.01018295003</v>
      </c>
      <c r="G32" s="1">
        <f t="shared" ref="G32:G78" si="4">+C32-F32</f>
        <v>13901485.884998104</v>
      </c>
      <c r="I32" s="1">
        <f>+I30</f>
        <v>4740000</v>
      </c>
      <c r="J32" s="1">
        <f>+J30+J31</f>
        <v>3997674.1730249529</v>
      </c>
    </row>
    <row r="33" spans="2:13">
      <c r="B33" s="1">
        <v>4</v>
      </c>
      <c r="C33" s="1">
        <f t="shared" si="0"/>
        <v>13901485.884998104</v>
      </c>
      <c r="D33" s="1">
        <f t="shared" si="1"/>
        <v>166793.37440788068</v>
      </c>
      <c r="E33" s="1">
        <f t="shared" si="2"/>
        <v>395000</v>
      </c>
      <c r="F33" s="1">
        <f t="shared" si="3"/>
        <v>228206.62559211932</v>
      </c>
      <c r="G33" s="1">
        <f t="shared" si="4"/>
        <v>13673279.259405984</v>
      </c>
      <c r="J33" s="2">
        <f>+I32-J32</f>
        <v>742325.82697504712</v>
      </c>
    </row>
    <row r="34" spans="2:13">
      <c r="B34" s="1">
        <v>5</v>
      </c>
      <c r="C34" s="1">
        <f t="shared" si="0"/>
        <v>13673279.259405984</v>
      </c>
      <c r="D34" s="1">
        <f t="shared" si="1"/>
        <v>164055.29637365974</v>
      </c>
      <c r="E34" s="1">
        <f t="shared" si="2"/>
        <v>395000</v>
      </c>
      <c r="F34" s="1">
        <f t="shared" si="3"/>
        <v>230944.70362634026</v>
      </c>
      <c r="G34" s="1">
        <f t="shared" si="4"/>
        <v>13442334.555779643</v>
      </c>
    </row>
    <row r="35" spans="2:13">
      <c r="B35" s="1">
        <v>6</v>
      </c>
      <c r="C35" s="1">
        <f t="shared" si="0"/>
        <v>13442334.555779643</v>
      </c>
      <c r="D35" s="1">
        <f t="shared" si="1"/>
        <v>161284.3662199965</v>
      </c>
      <c r="E35" s="1">
        <f t="shared" si="2"/>
        <v>395000</v>
      </c>
      <c r="F35" s="1">
        <f t="shared" si="3"/>
        <v>233715.6337800035</v>
      </c>
      <c r="G35" s="1">
        <f t="shared" si="4"/>
        <v>13208618.921999641</v>
      </c>
    </row>
    <row r="36" spans="2:13">
      <c r="B36" s="1">
        <v>7</v>
      </c>
      <c r="C36" s="1">
        <f t="shared" si="0"/>
        <v>13208618.921999641</v>
      </c>
      <c r="D36" s="1">
        <f t="shared" si="1"/>
        <v>158480.18977925277</v>
      </c>
      <c r="E36" s="1">
        <f t="shared" si="2"/>
        <v>395000</v>
      </c>
      <c r="F36" s="1">
        <f t="shared" si="3"/>
        <v>236519.81022074723</v>
      </c>
      <c r="G36" s="1">
        <f t="shared" si="4"/>
        <v>12972099.111778894</v>
      </c>
      <c r="I36" s="1" t="s">
        <v>296</v>
      </c>
    </row>
    <row r="37" spans="2:13">
      <c r="B37" s="1">
        <v>8</v>
      </c>
      <c r="C37" s="1">
        <f t="shared" si="0"/>
        <v>12972099.111778894</v>
      </c>
      <c r="D37" s="1">
        <f t="shared" si="1"/>
        <v>155642.36815447218</v>
      </c>
      <c r="E37" s="1">
        <f t="shared" si="2"/>
        <v>395000</v>
      </c>
      <c r="F37" s="1">
        <f t="shared" si="3"/>
        <v>239357.63184552782</v>
      </c>
      <c r="G37" s="1">
        <f t="shared" si="4"/>
        <v>12732741.479933366</v>
      </c>
      <c r="I37" s="1" t="s">
        <v>305</v>
      </c>
      <c r="M37" s="1">
        <f>+C30</f>
        <v>14570000</v>
      </c>
    </row>
    <row r="38" spans="2:13">
      <c r="B38" s="1">
        <v>9</v>
      </c>
      <c r="C38" s="1">
        <f t="shared" si="0"/>
        <v>12732741.479933366</v>
      </c>
      <c r="D38" s="1">
        <f t="shared" si="1"/>
        <v>152770.4976626366</v>
      </c>
      <c r="E38" s="1">
        <f t="shared" si="2"/>
        <v>395000</v>
      </c>
      <c r="F38" s="1">
        <f t="shared" si="3"/>
        <v>242229.5023373634</v>
      </c>
      <c r="G38" s="1">
        <f t="shared" si="4"/>
        <v>12490511.977596004</v>
      </c>
      <c r="I38" s="1" t="s">
        <v>306</v>
      </c>
    </row>
    <row r="39" spans="2:13">
      <c r="B39" s="1">
        <v>10</v>
      </c>
      <c r="C39" s="1">
        <f t="shared" si="0"/>
        <v>12490511.977596004</v>
      </c>
      <c r="D39" s="1">
        <f t="shared" si="1"/>
        <v>149864.16977724194</v>
      </c>
      <c r="E39" s="1">
        <f t="shared" si="2"/>
        <v>395000</v>
      </c>
      <c r="F39" s="1">
        <f t="shared" si="3"/>
        <v>245135.83022275806</v>
      </c>
      <c r="G39" s="1">
        <f t="shared" si="4"/>
        <v>12245376.147373246</v>
      </c>
      <c r="I39" s="1" t="s">
        <v>307</v>
      </c>
    </row>
    <row r="40" spans="2:13">
      <c r="B40" s="1">
        <v>11</v>
      </c>
      <c r="C40" s="1">
        <f t="shared" si="0"/>
        <v>12245376.147373246</v>
      </c>
      <c r="D40" s="1">
        <f t="shared" si="1"/>
        <v>146922.97107018469</v>
      </c>
      <c r="E40" s="1">
        <f t="shared" si="2"/>
        <v>395000</v>
      </c>
      <c r="F40" s="1">
        <f t="shared" si="3"/>
        <v>248077.02892981531</v>
      </c>
      <c r="G40" s="1">
        <f t="shared" si="4"/>
        <v>11997299.118443431</v>
      </c>
      <c r="I40" s="1" t="s">
        <v>308</v>
      </c>
    </row>
    <row r="41" spans="2:13">
      <c r="B41" s="1">
        <v>12</v>
      </c>
      <c r="C41" s="8">
        <f t="shared" si="0"/>
        <v>11997299.118443431</v>
      </c>
      <c r="D41" s="8">
        <f t="shared" si="1"/>
        <v>143946.48315295146</v>
      </c>
      <c r="E41" s="8">
        <f t="shared" si="2"/>
        <v>395000</v>
      </c>
      <c r="F41" s="8">
        <f t="shared" si="3"/>
        <v>251053.51684704854</v>
      </c>
      <c r="G41" s="8">
        <f t="shared" si="4"/>
        <v>11746245.601596383</v>
      </c>
    </row>
    <row r="42" spans="2:13">
      <c r="B42" s="1">
        <v>13</v>
      </c>
      <c r="C42" s="27">
        <f t="shared" si="0"/>
        <v>11746245.601596383</v>
      </c>
      <c r="D42" s="1">
        <f t="shared" si="1"/>
        <v>140934.28261710273</v>
      </c>
      <c r="E42" s="1">
        <f t="shared" si="2"/>
        <v>395000</v>
      </c>
      <c r="F42" s="1">
        <f t="shared" si="3"/>
        <v>254065.71738289727</v>
      </c>
      <c r="G42" s="1">
        <f t="shared" si="4"/>
        <v>11492179.884213487</v>
      </c>
    </row>
    <row r="43" spans="2:13">
      <c r="B43" s="1">
        <v>14</v>
      </c>
      <c r="C43" s="1">
        <f t="shared" si="0"/>
        <v>11492179.884213487</v>
      </c>
      <c r="D43" s="1">
        <f t="shared" si="1"/>
        <v>137885.94097404261</v>
      </c>
      <c r="E43" s="1">
        <f t="shared" si="2"/>
        <v>395000</v>
      </c>
      <c r="F43" s="1">
        <f t="shared" si="3"/>
        <v>257114.05902595739</v>
      </c>
      <c r="G43" s="1">
        <f t="shared" si="4"/>
        <v>11235065.825187529</v>
      </c>
    </row>
    <row r="44" spans="2:13">
      <c r="B44" s="1">
        <v>15</v>
      </c>
      <c r="C44" s="1">
        <f t="shared" si="0"/>
        <v>11235065.825187529</v>
      </c>
      <c r="D44" s="1">
        <f t="shared" si="1"/>
        <v>134801.02459406582</v>
      </c>
      <c r="E44" s="1">
        <f t="shared" si="2"/>
        <v>395000</v>
      </c>
      <c r="F44" s="1">
        <f t="shared" si="3"/>
        <v>260198.97540593418</v>
      </c>
      <c r="G44" s="1">
        <f t="shared" si="4"/>
        <v>10974866.849781595</v>
      </c>
    </row>
    <row r="45" spans="2:13">
      <c r="B45" s="1">
        <v>16</v>
      </c>
      <c r="C45" s="1">
        <f t="shared" si="0"/>
        <v>10974866.849781595</v>
      </c>
      <c r="D45" s="1">
        <f t="shared" si="1"/>
        <v>131679.09464467361</v>
      </c>
      <c r="E45" s="1">
        <f t="shared" si="2"/>
        <v>395000</v>
      </c>
      <c r="F45" s="1">
        <f t="shared" si="3"/>
        <v>263320.90535532637</v>
      </c>
      <c r="G45" s="1">
        <f t="shared" si="4"/>
        <v>10711545.944426268</v>
      </c>
    </row>
    <row r="46" spans="2:13">
      <c r="B46" s="1">
        <v>17</v>
      </c>
      <c r="C46" s="1">
        <f t="shared" si="0"/>
        <v>10711545.944426268</v>
      </c>
      <c r="D46" s="1">
        <f t="shared" si="1"/>
        <v>128519.7070281491</v>
      </c>
      <c r="E46" s="1">
        <f t="shared" si="2"/>
        <v>395000</v>
      </c>
      <c r="F46" s="1">
        <f t="shared" si="3"/>
        <v>266480.2929718509</v>
      </c>
      <c r="G46" s="1">
        <f t="shared" si="4"/>
        <v>10445065.651454417</v>
      </c>
    </row>
    <row r="47" spans="2:13">
      <c r="B47" s="1">
        <v>18</v>
      </c>
      <c r="C47" s="1">
        <f t="shared" si="0"/>
        <v>10445065.651454417</v>
      </c>
      <c r="D47" s="1">
        <f t="shared" si="1"/>
        <v>125322.41231838422</v>
      </c>
      <c r="E47" s="1">
        <f t="shared" si="2"/>
        <v>395000</v>
      </c>
      <c r="F47" s="1">
        <f t="shared" si="3"/>
        <v>269677.58768161578</v>
      </c>
      <c r="G47" s="1">
        <f t="shared" si="4"/>
        <v>10175388.063772801</v>
      </c>
    </row>
    <row r="48" spans="2:13">
      <c r="B48" s="1">
        <v>19</v>
      </c>
      <c r="C48" s="1">
        <f t="shared" si="0"/>
        <v>10175388.063772801</v>
      </c>
      <c r="D48" s="1">
        <f t="shared" si="1"/>
        <v>122086.75569694817</v>
      </c>
      <c r="E48" s="1">
        <f t="shared" si="2"/>
        <v>395000</v>
      </c>
      <c r="F48" s="1">
        <f t="shared" si="3"/>
        <v>272913.24430305185</v>
      </c>
      <c r="G48" s="1">
        <f t="shared" si="4"/>
        <v>9902474.8194697499</v>
      </c>
    </row>
    <row r="49" spans="2:7">
      <c r="B49" s="1">
        <v>20</v>
      </c>
      <c r="C49" s="1">
        <f t="shared" si="0"/>
        <v>9902474.8194697499</v>
      </c>
      <c r="D49" s="1">
        <f t="shared" si="1"/>
        <v>118812.27688838917</v>
      </c>
      <c r="E49" s="1">
        <f t="shared" si="2"/>
        <v>395000</v>
      </c>
      <c r="F49" s="1">
        <f t="shared" si="3"/>
        <v>276187.72311161086</v>
      </c>
      <c r="G49" s="1">
        <f t="shared" si="4"/>
        <v>9626287.0963581391</v>
      </c>
    </row>
    <row r="50" spans="2:7">
      <c r="B50" s="1">
        <v>21</v>
      </c>
      <c r="C50" s="1">
        <f t="shared" si="0"/>
        <v>9626287.0963581391</v>
      </c>
      <c r="D50" s="1">
        <f t="shared" si="1"/>
        <v>115498.51009475974</v>
      </c>
      <c r="E50" s="1">
        <f t="shared" si="2"/>
        <v>395000</v>
      </c>
      <c r="F50" s="1">
        <f t="shared" si="3"/>
        <v>279501.48990524025</v>
      </c>
      <c r="G50" s="1">
        <f t="shared" si="4"/>
        <v>9346785.6064528991</v>
      </c>
    </row>
    <row r="51" spans="2:7">
      <c r="B51" s="1">
        <v>22</v>
      </c>
      <c r="C51" s="1">
        <f t="shared" si="0"/>
        <v>9346785.6064528991</v>
      </c>
      <c r="D51" s="1">
        <f t="shared" si="1"/>
        <v>112144.98392935649</v>
      </c>
      <c r="E51" s="1">
        <f t="shared" si="2"/>
        <v>395000</v>
      </c>
      <c r="F51" s="1">
        <f t="shared" si="3"/>
        <v>282855.0160706435</v>
      </c>
      <c r="G51" s="1">
        <f t="shared" si="4"/>
        <v>9063930.5903822556</v>
      </c>
    </row>
    <row r="52" spans="2:7">
      <c r="B52" s="1">
        <v>23</v>
      </c>
      <c r="C52" s="1">
        <f t="shared" si="0"/>
        <v>9063930.5903822556</v>
      </c>
      <c r="D52" s="1">
        <f t="shared" si="1"/>
        <v>108751.22134966486</v>
      </c>
      <c r="E52" s="1">
        <f t="shared" si="2"/>
        <v>395000</v>
      </c>
      <c r="F52" s="1">
        <f t="shared" si="3"/>
        <v>286248.77865033515</v>
      </c>
      <c r="G52" s="1">
        <f t="shared" si="4"/>
        <v>8777681.8117319196</v>
      </c>
    </row>
    <row r="53" spans="2:7">
      <c r="B53" s="1">
        <v>24</v>
      </c>
      <c r="C53" s="1">
        <f t="shared" si="0"/>
        <v>8777681.8117319196</v>
      </c>
      <c r="D53" s="1">
        <f t="shared" si="1"/>
        <v>105316.73958949937</v>
      </c>
      <c r="E53" s="1">
        <f t="shared" si="2"/>
        <v>395000</v>
      </c>
      <c r="F53" s="1">
        <f t="shared" si="3"/>
        <v>289683.26041050063</v>
      </c>
      <c r="G53" s="1">
        <f t="shared" si="4"/>
        <v>8487998.551321419</v>
      </c>
    </row>
    <row r="54" spans="2:7">
      <c r="B54" s="1">
        <v>25</v>
      </c>
      <c r="C54" s="1">
        <f t="shared" si="0"/>
        <v>8487998.551321419</v>
      </c>
      <c r="D54" s="1">
        <f t="shared" si="1"/>
        <v>101841.05009032962</v>
      </c>
      <c r="E54" s="1">
        <f t="shared" si="2"/>
        <v>395000</v>
      </c>
      <c r="F54" s="1">
        <f t="shared" si="3"/>
        <v>293158.94990967039</v>
      </c>
      <c r="G54" s="1">
        <f t="shared" si="4"/>
        <v>8194839.6014117487</v>
      </c>
    </row>
    <row r="55" spans="2:7">
      <c r="B55" s="1">
        <v>26</v>
      </c>
      <c r="C55" s="1">
        <f t="shared" si="0"/>
        <v>8194839.6014117487</v>
      </c>
      <c r="D55" s="1">
        <f t="shared" si="1"/>
        <v>98323.658431782373</v>
      </c>
      <c r="E55" s="1">
        <f t="shared" si="2"/>
        <v>395000</v>
      </c>
      <c r="F55" s="1">
        <f t="shared" si="3"/>
        <v>296676.34156821761</v>
      </c>
      <c r="G55" s="1">
        <f t="shared" si="4"/>
        <v>7898163.2598435311</v>
      </c>
    </row>
    <row r="56" spans="2:7">
      <c r="B56" s="1">
        <v>27</v>
      </c>
      <c r="C56" s="1">
        <f t="shared" si="0"/>
        <v>7898163.2598435311</v>
      </c>
      <c r="D56" s="1">
        <f t="shared" si="1"/>
        <v>94764.064261309657</v>
      </c>
      <c r="E56" s="1">
        <f t="shared" si="2"/>
        <v>395000</v>
      </c>
      <c r="F56" s="1">
        <f t="shared" si="3"/>
        <v>300235.93573869031</v>
      </c>
      <c r="G56" s="1">
        <f t="shared" si="4"/>
        <v>7597927.3241048409</v>
      </c>
    </row>
    <row r="57" spans="2:7">
      <c r="B57" s="1">
        <v>28</v>
      </c>
      <c r="C57" s="1">
        <f t="shared" si="0"/>
        <v>7597927.3241048409</v>
      </c>
      <c r="D57" s="1">
        <f t="shared" si="1"/>
        <v>91161.761223013207</v>
      </c>
      <c r="E57" s="1">
        <f t="shared" si="2"/>
        <v>395000</v>
      </c>
      <c r="F57" s="1">
        <f t="shared" si="3"/>
        <v>303838.23877698678</v>
      </c>
      <c r="G57" s="1">
        <f t="shared" si="4"/>
        <v>7294089.0853278544</v>
      </c>
    </row>
    <row r="58" spans="2:7">
      <c r="B58" s="1">
        <v>29</v>
      </c>
      <c r="C58" s="1">
        <f t="shared" si="0"/>
        <v>7294089.0853278544</v>
      </c>
      <c r="D58" s="1">
        <f t="shared" si="1"/>
        <v>87516.23688561481</v>
      </c>
      <c r="E58" s="1">
        <f t="shared" si="2"/>
        <v>395000</v>
      </c>
      <c r="F58" s="1">
        <f t="shared" si="3"/>
        <v>307483.76311438519</v>
      </c>
      <c r="G58" s="1">
        <f t="shared" si="4"/>
        <v>6986605.3222134691</v>
      </c>
    </row>
    <row r="59" spans="2:7">
      <c r="B59" s="1">
        <v>30</v>
      </c>
      <c r="C59" s="1">
        <f t="shared" si="0"/>
        <v>6986605.3222134691</v>
      </c>
      <c r="D59" s="1">
        <f t="shared" si="1"/>
        <v>83826.972669562354</v>
      </c>
      <c r="E59" s="1">
        <f t="shared" si="2"/>
        <v>395000</v>
      </c>
      <c r="F59" s="1">
        <f t="shared" si="3"/>
        <v>311173.02733043768</v>
      </c>
      <c r="G59" s="1">
        <f t="shared" si="4"/>
        <v>6675432.2948830314</v>
      </c>
    </row>
    <row r="60" spans="2:7">
      <c r="B60" s="1">
        <v>31</v>
      </c>
      <c r="C60" s="1">
        <f t="shared" si="0"/>
        <v>6675432.2948830314</v>
      </c>
      <c r="D60" s="1">
        <f t="shared" si="1"/>
        <v>80093.443773261461</v>
      </c>
      <c r="E60" s="1">
        <f t="shared" si="2"/>
        <v>395000</v>
      </c>
      <c r="F60" s="1">
        <f t="shared" si="3"/>
        <v>314906.55622673855</v>
      </c>
      <c r="G60" s="1">
        <f t="shared" si="4"/>
        <v>6360525.7386562927</v>
      </c>
    </row>
    <row r="61" spans="2:7">
      <c r="B61" s="1">
        <v>32</v>
      </c>
      <c r="C61" s="1">
        <f t="shared" si="0"/>
        <v>6360525.7386562927</v>
      </c>
      <c r="D61" s="1">
        <f t="shared" si="1"/>
        <v>76315.11909842187</v>
      </c>
      <c r="E61" s="1">
        <f t="shared" si="2"/>
        <v>395000</v>
      </c>
      <c r="F61" s="1">
        <f t="shared" si="3"/>
        <v>318684.88090157812</v>
      </c>
      <c r="G61" s="1">
        <f t="shared" si="4"/>
        <v>6041840.8577547148</v>
      </c>
    </row>
    <row r="62" spans="2:7">
      <c r="B62" s="1">
        <v>33</v>
      </c>
      <c r="C62" s="1">
        <f t="shared" si="0"/>
        <v>6041840.8577547148</v>
      </c>
      <c r="D62" s="1">
        <f t="shared" si="1"/>
        <v>72491.461174508149</v>
      </c>
      <c r="E62" s="1">
        <f t="shared" si="2"/>
        <v>395000</v>
      </c>
      <c r="F62" s="1">
        <f t="shared" si="3"/>
        <v>322508.53882549185</v>
      </c>
      <c r="G62" s="1">
        <f t="shared" si="4"/>
        <v>5719332.3189292233</v>
      </c>
    </row>
    <row r="63" spans="2:7">
      <c r="B63" s="1">
        <v>34</v>
      </c>
      <c r="C63" s="1">
        <f t="shared" si="0"/>
        <v>5719332.3189292233</v>
      </c>
      <c r="D63" s="1">
        <f t="shared" si="1"/>
        <v>68621.926082284001</v>
      </c>
      <c r="E63" s="1">
        <f t="shared" si="2"/>
        <v>395000</v>
      </c>
      <c r="F63" s="1">
        <f t="shared" si="3"/>
        <v>326378.07391771598</v>
      </c>
      <c r="G63" s="1">
        <f t="shared" si="4"/>
        <v>5392954.2450115075</v>
      </c>
    </row>
    <row r="64" spans="2:7">
      <c r="B64" s="1">
        <v>35</v>
      </c>
      <c r="C64" s="1">
        <f t="shared" si="0"/>
        <v>5392954.2450115075</v>
      </c>
      <c r="D64" s="1">
        <f t="shared" si="1"/>
        <v>64705.963376439198</v>
      </c>
      <c r="E64" s="1">
        <f t="shared" si="2"/>
        <v>395000</v>
      </c>
      <c r="F64" s="1">
        <f t="shared" si="3"/>
        <v>330294.03662356082</v>
      </c>
      <c r="G64" s="1">
        <f t="shared" si="4"/>
        <v>5062660.2083879467</v>
      </c>
    </row>
    <row r="65" spans="2:7">
      <c r="B65" s="1">
        <v>36</v>
      </c>
      <c r="C65" s="1">
        <f t="shared" si="0"/>
        <v>5062660.2083879467</v>
      </c>
      <c r="D65" s="1">
        <f t="shared" si="1"/>
        <v>60743.016007288141</v>
      </c>
      <c r="E65" s="1">
        <f t="shared" si="2"/>
        <v>395000</v>
      </c>
      <c r="F65" s="1">
        <f t="shared" si="3"/>
        <v>334256.98399271187</v>
      </c>
      <c r="G65" s="1">
        <f t="shared" si="4"/>
        <v>4728403.2243952351</v>
      </c>
    </row>
    <row r="66" spans="2:7">
      <c r="B66" s="1">
        <v>37</v>
      </c>
      <c r="C66" s="1">
        <f t="shared" si="0"/>
        <v>4728403.2243952351</v>
      </c>
      <c r="D66" s="1">
        <f t="shared" si="1"/>
        <v>56732.520241529004</v>
      </c>
      <c r="E66" s="1">
        <f t="shared" si="2"/>
        <v>395000</v>
      </c>
      <c r="F66" s="1">
        <f t="shared" si="3"/>
        <v>338267.47975847102</v>
      </c>
      <c r="G66" s="1">
        <f t="shared" si="4"/>
        <v>4390135.7446367638</v>
      </c>
    </row>
    <row r="67" spans="2:7">
      <c r="B67" s="1">
        <v>38</v>
      </c>
      <c r="C67" s="1">
        <f t="shared" si="0"/>
        <v>4390135.7446367638</v>
      </c>
      <c r="D67" s="1">
        <f t="shared" si="1"/>
        <v>52673.905582052073</v>
      </c>
      <c r="E67" s="1">
        <f t="shared" si="2"/>
        <v>395000</v>
      </c>
      <c r="F67" s="1">
        <f t="shared" si="3"/>
        <v>342326.09441794793</v>
      </c>
      <c r="G67" s="1">
        <f t="shared" si="4"/>
        <v>4047809.650218816</v>
      </c>
    </row>
    <row r="68" spans="2:7">
      <c r="B68" s="1">
        <v>39</v>
      </c>
      <c r="C68" s="1">
        <f t="shared" si="0"/>
        <v>4047809.650218816</v>
      </c>
      <c r="D68" s="1">
        <f t="shared" si="1"/>
        <v>48566.594686785997</v>
      </c>
      <c r="E68" s="1">
        <f t="shared" si="2"/>
        <v>395000</v>
      </c>
      <c r="F68" s="1">
        <f t="shared" si="3"/>
        <v>346433.405313214</v>
      </c>
      <c r="G68" s="1">
        <f t="shared" si="4"/>
        <v>3701376.2449056022</v>
      </c>
    </row>
    <row r="69" spans="2:7">
      <c r="B69" s="1">
        <v>40</v>
      </c>
      <c r="C69" s="1">
        <f t="shared" si="0"/>
        <v>3701376.2449056022</v>
      </c>
      <c r="D69" s="1">
        <f t="shared" si="1"/>
        <v>44410.003286570238</v>
      </c>
      <c r="E69" s="1">
        <f t="shared" si="2"/>
        <v>395000</v>
      </c>
      <c r="F69" s="1">
        <f t="shared" si="3"/>
        <v>350589.99671342975</v>
      </c>
      <c r="G69" s="1">
        <f t="shared" si="4"/>
        <v>3350786.2481921725</v>
      </c>
    </row>
    <row r="70" spans="2:7">
      <c r="B70" s="1">
        <v>41</v>
      </c>
      <c r="C70" s="1">
        <f t="shared" si="0"/>
        <v>3350786.2481921725</v>
      </c>
      <c r="D70" s="1">
        <f t="shared" si="1"/>
        <v>40203.540102042192</v>
      </c>
      <c r="E70" s="1">
        <f t="shared" si="2"/>
        <v>395000</v>
      </c>
      <c r="F70" s="1">
        <f t="shared" si="3"/>
        <v>354796.4598979578</v>
      </c>
      <c r="G70" s="1">
        <f t="shared" si="4"/>
        <v>2995989.7882942148</v>
      </c>
    </row>
    <row r="71" spans="2:7">
      <c r="B71" s="1">
        <v>42</v>
      </c>
      <c r="C71" s="1">
        <f t="shared" si="0"/>
        <v>2995989.7882942148</v>
      </c>
      <c r="D71" s="1">
        <f t="shared" si="1"/>
        <v>35946.606759527152</v>
      </c>
      <c r="E71" s="1">
        <f t="shared" si="2"/>
        <v>395000</v>
      </c>
      <c r="F71" s="1">
        <f t="shared" si="3"/>
        <v>359053.39324047283</v>
      </c>
      <c r="G71" s="1">
        <f t="shared" si="4"/>
        <v>2636936.395053742</v>
      </c>
    </row>
    <row r="72" spans="2:7">
      <c r="B72" s="1">
        <v>43</v>
      </c>
      <c r="C72" s="1">
        <f t="shared" si="0"/>
        <v>2636936.395053742</v>
      </c>
      <c r="D72" s="1">
        <f t="shared" si="1"/>
        <v>31638.597705918968</v>
      </c>
      <c r="E72" s="1">
        <f t="shared" si="2"/>
        <v>395000</v>
      </c>
      <c r="F72" s="1">
        <f t="shared" si="3"/>
        <v>363361.40229408105</v>
      </c>
      <c r="G72" s="1">
        <f t="shared" si="4"/>
        <v>2273574.9927596608</v>
      </c>
    </row>
    <row r="73" spans="2:7">
      <c r="B73" s="1">
        <v>44</v>
      </c>
      <c r="C73" s="1">
        <f t="shared" si="0"/>
        <v>2273574.9927596608</v>
      </c>
      <c r="D73" s="1">
        <f t="shared" si="1"/>
        <v>27278.900122539555</v>
      </c>
      <c r="E73" s="1">
        <f t="shared" si="2"/>
        <v>395000</v>
      </c>
      <c r="F73" s="1">
        <f t="shared" si="3"/>
        <v>367721.09987746045</v>
      </c>
      <c r="G73" s="1">
        <f t="shared" si="4"/>
        <v>1905853.8928822004</v>
      </c>
    </row>
    <row r="74" spans="2:7">
      <c r="B74" s="1">
        <v>45</v>
      </c>
      <c r="C74" s="1">
        <f t="shared" si="0"/>
        <v>1905853.8928822004</v>
      </c>
      <c r="D74" s="1">
        <f t="shared" si="1"/>
        <v>22866.893837964799</v>
      </c>
      <c r="E74" s="1">
        <f t="shared" si="2"/>
        <v>395000</v>
      </c>
      <c r="F74" s="1">
        <f t="shared" si="3"/>
        <v>372133.1061620352</v>
      </c>
      <c r="G74" s="1">
        <f t="shared" si="4"/>
        <v>1533720.7867201653</v>
      </c>
    </row>
    <row r="75" spans="2:7">
      <c r="B75" s="1">
        <v>46</v>
      </c>
      <c r="C75" s="1">
        <f t="shared" si="0"/>
        <v>1533720.7867201653</v>
      </c>
      <c r="D75" s="1">
        <f t="shared" si="1"/>
        <v>18401.951239804515</v>
      </c>
      <c r="E75" s="1">
        <f t="shared" si="2"/>
        <v>395000</v>
      </c>
      <c r="F75" s="1">
        <f t="shared" si="3"/>
        <v>376598.0487601955</v>
      </c>
      <c r="G75" s="1">
        <f t="shared" si="4"/>
        <v>1157122.7379599698</v>
      </c>
    </row>
    <row r="76" spans="2:7">
      <c r="B76" s="1">
        <v>47</v>
      </c>
      <c r="C76" s="1">
        <f t="shared" si="0"/>
        <v>1157122.7379599698</v>
      </c>
      <c r="D76" s="1">
        <f t="shared" si="1"/>
        <v>13883.437185423978</v>
      </c>
      <c r="E76" s="1">
        <f t="shared" si="2"/>
        <v>395000</v>
      </c>
      <c r="F76" s="1">
        <f t="shared" si="3"/>
        <v>381116.56281457603</v>
      </c>
      <c r="G76" s="1">
        <f t="shared" si="4"/>
        <v>776006.1751453937</v>
      </c>
    </row>
    <row r="77" spans="2:7">
      <c r="B77" s="1">
        <v>48</v>
      </c>
      <c r="C77" s="1">
        <f t="shared" si="0"/>
        <v>776006.1751453937</v>
      </c>
      <c r="D77" s="1">
        <f t="shared" si="1"/>
        <v>9310.7089115942181</v>
      </c>
      <c r="E77" s="1">
        <f t="shared" si="2"/>
        <v>395000</v>
      </c>
      <c r="F77" s="1">
        <f t="shared" si="3"/>
        <v>385689.29108840576</v>
      </c>
      <c r="G77" s="1">
        <f t="shared" si="4"/>
        <v>390316.88405698794</v>
      </c>
    </row>
    <row r="78" spans="2:7">
      <c r="B78" s="8">
        <v>49</v>
      </c>
      <c r="C78" s="8">
        <f t="shared" si="0"/>
        <v>390316.88405698794</v>
      </c>
      <c r="D78" s="8">
        <f t="shared" si="1"/>
        <v>4683.1159430583002</v>
      </c>
      <c r="E78" s="8">
        <f t="shared" si="2"/>
        <v>395000</v>
      </c>
      <c r="F78" s="8">
        <f t="shared" si="3"/>
        <v>390316.88405694172</v>
      </c>
      <c r="G78" s="23">
        <f t="shared" si="4"/>
        <v>4.6216882765293121E-8</v>
      </c>
    </row>
    <row r="79" spans="2:7">
      <c r="D79" s="1">
        <f>SUM(D30:D78)</f>
        <v>4785000.0000000428</v>
      </c>
      <c r="E79" s="1">
        <f>SUM(E30:E78)</f>
        <v>19355000</v>
      </c>
      <c r="F79" s="1">
        <f>SUM(F30:F78)</f>
        <v>14569999.999999959</v>
      </c>
    </row>
    <row r="81" spans="2:6">
      <c r="B81" s="1" t="s">
        <v>209</v>
      </c>
    </row>
    <row r="83" spans="2:6">
      <c r="C83" s="1" t="s">
        <v>210</v>
      </c>
      <c r="E83" s="27">
        <f>+D16</f>
        <v>14570000</v>
      </c>
    </row>
    <row r="84" spans="2:6">
      <c r="C84" s="1" t="s">
        <v>211</v>
      </c>
      <c r="E84" s="1">
        <v>7</v>
      </c>
      <c r="F84" s="1" t="s">
        <v>167</v>
      </c>
    </row>
    <row r="85" spans="2:6">
      <c r="C85" s="1" t="s">
        <v>212</v>
      </c>
      <c r="E85" s="1">
        <v>1</v>
      </c>
      <c r="F85" s="1" t="s">
        <v>167</v>
      </c>
    </row>
    <row r="86" spans="2:6">
      <c r="C86" s="1" t="s">
        <v>213</v>
      </c>
      <c r="E86" s="27">
        <f>+E83/E84</f>
        <v>2081428.5714285714</v>
      </c>
    </row>
    <row r="91" spans="2:6">
      <c r="B91" s="23" t="s">
        <v>86</v>
      </c>
      <c r="C91" s="23"/>
      <c r="D91" s="23"/>
      <c r="E91" s="23" t="s">
        <v>88</v>
      </c>
      <c r="F91" s="23" t="s">
        <v>89</v>
      </c>
    </row>
    <row r="92" spans="2:6">
      <c r="B92" s="1" t="s">
        <v>214</v>
      </c>
      <c r="E92" s="1">
        <f>+E83</f>
        <v>14570000</v>
      </c>
    </row>
    <row r="93" spans="2:6">
      <c r="B93" s="24"/>
      <c r="C93" s="1" t="s">
        <v>215</v>
      </c>
      <c r="F93" s="1">
        <f>ROUND(+E86,0)</f>
        <v>2081429</v>
      </c>
    </row>
    <row r="94" spans="2:6">
      <c r="C94" s="1" t="s">
        <v>216</v>
      </c>
      <c r="F94" s="1">
        <f>ROUND(SUM(F42:F53),0)</f>
        <v>3258247</v>
      </c>
    </row>
    <row r="95" spans="2:6">
      <c r="C95" s="1" t="s">
        <v>217</v>
      </c>
      <c r="F95" s="1">
        <f>ROUND(SUM(F54:F78),0)</f>
        <v>8487999</v>
      </c>
    </row>
    <row r="96" spans="2:6">
      <c r="C96" s="1" t="s">
        <v>79</v>
      </c>
      <c r="F96" s="1">
        <f>ROUND(+E92-SUM(F93:F95),0)</f>
        <v>742325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6"/>
  <sheetViews>
    <sheetView showGridLines="0" zoomScale="150" zoomScaleNormal="150" workbookViewId="0"/>
  </sheetViews>
  <sheetFormatPr baseColWidth="10" defaultColWidth="11.42578125" defaultRowHeight="15"/>
  <cols>
    <col min="1" max="3" width="11.42578125" style="1"/>
    <col min="4" max="4" width="26.28515625" style="1" customWidth="1"/>
    <col min="5" max="6" width="13.28515625" style="1" bestFit="1" customWidth="1"/>
    <col min="7" max="16384" width="11.42578125" style="1"/>
  </cols>
  <sheetData>
    <row r="3" spans="2:2">
      <c r="B3" s="2" t="s">
        <v>122</v>
      </c>
    </row>
    <row r="5" spans="2:2">
      <c r="B5" s="2" t="s">
        <v>81</v>
      </c>
    </row>
    <row r="7" spans="2:2">
      <c r="B7" s="1" t="s">
        <v>257</v>
      </c>
    </row>
    <row r="9" spans="2:2">
      <c r="B9" s="2" t="s">
        <v>83</v>
      </c>
    </row>
    <row r="14" spans="2:2">
      <c r="B14" s="2" t="s">
        <v>85</v>
      </c>
    </row>
    <row r="17" spans="2:6">
      <c r="B17" s="1" t="s">
        <v>255</v>
      </c>
      <c r="F17" s="1">
        <v>6000000</v>
      </c>
    </row>
    <row r="18" spans="2:6">
      <c r="B18" s="1" t="s">
        <v>256</v>
      </c>
      <c r="F18" s="1">
        <v>8000000</v>
      </c>
    </row>
    <row r="23" spans="2:6">
      <c r="B23" s="23" t="s">
        <v>86</v>
      </c>
      <c r="C23" s="23"/>
      <c r="D23" s="23"/>
      <c r="E23" s="23" t="s">
        <v>88</v>
      </c>
      <c r="F23" s="23" t="s">
        <v>89</v>
      </c>
    </row>
    <row r="24" spans="2:6">
      <c r="B24" s="24" t="s">
        <v>72</v>
      </c>
      <c r="C24" s="24"/>
      <c r="E24" s="1">
        <v>6000000</v>
      </c>
    </row>
    <row r="25" spans="2:6">
      <c r="B25" s="24" t="s">
        <v>220</v>
      </c>
      <c r="C25" s="24"/>
      <c r="E25" s="1">
        <v>8000000</v>
      </c>
    </row>
    <row r="26" spans="2:6">
      <c r="C26" s="1" t="s">
        <v>139</v>
      </c>
      <c r="F26" s="1">
        <v>14000000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77"/>
  <sheetViews>
    <sheetView showGridLines="0" zoomScale="130" zoomScaleNormal="130" workbookViewId="0">
      <selection sqref="A1:XFD1048576"/>
    </sheetView>
  </sheetViews>
  <sheetFormatPr baseColWidth="10" defaultColWidth="11.42578125" defaultRowHeight="15"/>
  <cols>
    <col min="1" max="2" width="11.42578125" style="1"/>
    <col min="3" max="3" width="30.5703125" style="1" customWidth="1"/>
    <col min="4" max="4" width="21.5703125" style="1" customWidth="1"/>
    <col min="5" max="6" width="13.28515625" style="1" bestFit="1" customWidth="1"/>
    <col min="7" max="7" width="14.7109375" style="1" customWidth="1"/>
    <col min="8" max="16384" width="11.42578125" style="1"/>
  </cols>
  <sheetData>
    <row r="3" spans="2:4">
      <c r="B3" s="2" t="s">
        <v>123</v>
      </c>
    </row>
    <row r="5" spans="2:4">
      <c r="B5" s="2" t="s">
        <v>81</v>
      </c>
    </row>
    <row r="7" spans="2:4">
      <c r="B7" s="1" t="s">
        <v>289</v>
      </c>
    </row>
    <row r="9" spans="2:4">
      <c r="B9" s="2" t="s">
        <v>83</v>
      </c>
    </row>
    <row r="11" spans="2:4">
      <c r="B11" s="1" t="s">
        <v>290</v>
      </c>
    </row>
    <row r="12" spans="2:4">
      <c r="B12" s="1" t="s">
        <v>291</v>
      </c>
    </row>
    <row r="14" spans="2:4">
      <c r="B14" s="2" t="s">
        <v>85</v>
      </c>
    </row>
    <row r="15" spans="2:4">
      <c r="B15" s="2"/>
    </row>
    <row r="16" spans="2:4">
      <c r="B16" s="2" t="s">
        <v>201</v>
      </c>
      <c r="D16" s="1">
        <v>100000000</v>
      </c>
    </row>
    <row r="17" spans="2:28">
      <c r="B17" s="2" t="s">
        <v>175</v>
      </c>
      <c r="D17" s="1">
        <v>24</v>
      </c>
      <c r="E17" s="1" t="s">
        <v>221</v>
      </c>
      <c r="G17" s="1" t="s">
        <v>312</v>
      </c>
    </row>
    <row r="18" spans="2:28">
      <c r="B18" s="2" t="s">
        <v>222</v>
      </c>
      <c r="D18" s="26">
        <v>6.0000000000000001E-3</v>
      </c>
      <c r="E18" s="1" t="s">
        <v>223</v>
      </c>
      <c r="G18" s="1" t="s">
        <v>314</v>
      </c>
      <c r="J18" s="1">
        <v>3500000</v>
      </c>
    </row>
    <row r="19" spans="2:28">
      <c r="B19" s="2" t="s">
        <v>206</v>
      </c>
      <c r="D19" s="1">
        <v>4486330</v>
      </c>
      <c r="G19" s="1" t="s">
        <v>313</v>
      </c>
      <c r="K19" s="1">
        <f>+J18</f>
        <v>3500000</v>
      </c>
    </row>
    <row r="20" spans="2:28">
      <c r="B20" s="2"/>
    </row>
    <row r="21" spans="2:28">
      <c r="B21" s="2" t="s">
        <v>224</v>
      </c>
      <c r="D21" s="1">
        <v>3500000</v>
      </c>
    </row>
    <row r="22" spans="2:28">
      <c r="B22" s="2"/>
    </row>
    <row r="23" spans="2:28">
      <c r="B23" s="2" t="s">
        <v>225</v>
      </c>
      <c r="D23" s="1">
        <f>+D16-D21</f>
        <v>96500000</v>
      </c>
    </row>
    <row r="24" spans="2:28">
      <c r="B24" s="2"/>
    </row>
    <row r="25" spans="2:28">
      <c r="B25" s="2" t="s">
        <v>292</v>
      </c>
      <c r="E25" s="1" t="s">
        <v>227</v>
      </c>
    </row>
    <row r="26" spans="2:28">
      <c r="B26" s="2"/>
      <c r="D26" s="1" t="s">
        <v>226</v>
      </c>
      <c r="E26" s="1">
        <v>1</v>
      </c>
      <c r="F26" s="1">
        <v>2</v>
      </c>
      <c r="G26" s="1">
        <v>3</v>
      </c>
      <c r="H26" s="1">
        <v>4</v>
      </c>
      <c r="I26" s="1">
        <v>5</v>
      </c>
      <c r="J26" s="1">
        <v>6</v>
      </c>
      <c r="K26" s="1">
        <v>7</v>
      </c>
      <c r="L26" s="1">
        <v>8</v>
      </c>
      <c r="M26" s="1">
        <v>9</v>
      </c>
      <c r="N26" s="1">
        <v>10</v>
      </c>
      <c r="O26" s="1">
        <v>11</v>
      </c>
      <c r="P26" s="1">
        <v>12</v>
      </c>
      <c r="Q26" s="1">
        <v>13</v>
      </c>
      <c r="R26" s="1">
        <v>14</v>
      </c>
      <c r="S26" s="1">
        <v>15</v>
      </c>
      <c r="T26" s="1">
        <v>16</v>
      </c>
      <c r="U26" s="1">
        <v>17</v>
      </c>
      <c r="V26" s="1">
        <v>18</v>
      </c>
      <c r="W26" s="1">
        <v>19</v>
      </c>
      <c r="X26" s="1">
        <v>20</v>
      </c>
      <c r="Y26" s="1">
        <v>21</v>
      </c>
      <c r="Z26" s="1">
        <v>22</v>
      </c>
      <c r="AA26" s="1">
        <v>23</v>
      </c>
      <c r="AB26" s="1">
        <v>24</v>
      </c>
    </row>
    <row r="27" spans="2:28">
      <c r="B27" s="2"/>
      <c r="D27" s="1">
        <f>-D23</f>
        <v>-96500000</v>
      </c>
      <c r="E27" s="1">
        <f>+$D$19</f>
        <v>4486330</v>
      </c>
      <c r="F27" s="1">
        <f>+$D$19</f>
        <v>4486330</v>
      </c>
      <c r="G27" s="1">
        <f t="shared" ref="G27:AB27" si="0">+$D$19</f>
        <v>4486330</v>
      </c>
      <c r="H27" s="1">
        <f t="shared" si="0"/>
        <v>4486330</v>
      </c>
      <c r="I27" s="1">
        <f t="shared" si="0"/>
        <v>4486330</v>
      </c>
      <c r="J27" s="1">
        <f t="shared" si="0"/>
        <v>4486330</v>
      </c>
      <c r="K27" s="1">
        <f t="shared" si="0"/>
        <v>4486330</v>
      </c>
      <c r="L27" s="1">
        <f t="shared" si="0"/>
        <v>4486330</v>
      </c>
      <c r="M27" s="1">
        <f t="shared" si="0"/>
        <v>4486330</v>
      </c>
      <c r="N27" s="1">
        <f t="shared" si="0"/>
        <v>4486330</v>
      </c>
      <c r="O27" s="1">
        <f t="shared" si="0"/>
        <v>4486330</v>
      </c>
      <c r="P27" s="1">
        <f t="shared" si="0"/>
        <v>4486330</v>
      </c>
      <c r="Q27" s="1">
        <f t="shared" si="0"/>
        <v>4486330</v>
      </c>
      <c r="R27" s="1">
        <f t="shared" si="0"/>
        <v>4486330</v>
      </c>
      <c r="S27" s="1">
        <f t="shared" si="0"/>
        <v>4486330</v>
      </c>
      <c r="T27" s="1">
        <f t="shared" si="0"/>
        <v>4486330</v>
      </c>
      <c r="U27" s="1">
        <f t="shared" si="0"/>
        <v>4486330</v>
      </c>
      <c r="V27" s="1">
        <f t="shared" si="0"/>
        <v>4486330</v>
      </c>
      <c r="W27" s="1">
        <f t="shared" si="0"/>
        <v>4486330</v>
      </c>
      <c r="X27" s="1">
        <f t="shared" si="0"/>
        <v>4486330</v>
      </c>
      <c r="Y27" s="1">
        <f t="shared" si="0"/>
        <v>4486330</v>
      </c>
      <c r="Z27" s="1">
        <f t="shared" si="0"/>
        <v>4486330</v>
      </c>
      <c r="AA27" s="1">
        <f t="shared" si="0"/>
        <v>4486330</v>
      </c>
      <c r="AB27" s="1">
        <f t="shared" si="0"/>
        <v>4486330</v>
      </c>
    </row>
    <row r="28" spans="2:28">
      <c r="B28" s="2"/>
    </row>
    <row r="29" spans="2:28">
      <c r="B29" s="2"/>
      <c r="C29" s="1" t="s">
        <v>311</v>
      </c>
      <c r="D29" s="61">
        <f>IRR(D27:AB27)</f>
        <v>8.9558374378779781E-3</v>
      </c>
    </row>
    <row r="30" spans="2:28">
      <c r="B30" s="2"/>
    </row>
    <row r="31" spans="2:28">
      <c r="B31" s="2"/>
    </row>
    <row r="32" spans="2:28">
      <c r="B32" s="2" t="s">
        <v>228</v>
      </c>
    </row>
    <row r="33" spans="2:7">
      <c r="B33" s="2"/>
    </row>
    <row r="34" spans="2:7" ht="30">
      <c r="B34" s="13" t="s">
        <v>175</v>
      </c>
      <c r="C34" s="15" t="s">
        <v>204</v>
      </c>
      <c r="D34" s="13" t="s">
        <v>205</v>
      </c>
      <c r="E34" s="13" t="s">
        <v>206</v>
      </c>
      <c r="F34" s="15" t="s">
        <v>207</v>
      </c>
      <c r="G34" s="15" t="s">
        <v>208</v>
      </c>
    </row>
    <row r="35" spans="2:7">
      <c r="B35" s="16">
        <v>1</v>
      </c>
      <c r="C35" s="1">
        <f>+D23</f>
        <v>96500000</v>
      </c>
      <c r="D35" s="1">
        <f>+C35*$D$29</f>
        <v>864238.31275522488</v>
      </c>
      <c r="E35" s="1">
        <f>+$E$27</f>
        <v>4486330</v>
      </c>
      <c r="F35" s="1">
        <f>+E35-D35</f>
        <v>3622091.6872447752</v>
      </c>
      <c r="G35" s="1">
        <f>+C35-F35</f>
        <v>92877908.312755227</v>
      </c>
    </row>
    <row r="36" spans="2:7">
      <c r="B36" s="16">
        <v>2</v>
      </c>
      <c r="C36" s="1">
        <f>+G35</f>
        <v>92877908.312755227</v>
      </c>
      <c r="D36" s="1">
        <f>+C36*$D$29</f>
        <v>831799.4484191715</v>
      </c>
      <c r="E36" s="1">
        <f>+$E$27</f>
        <v>4486330</v>
      </c>
      <c r="F36" s="1">
        <f>+E36-D36</f>
        <v>3654530.5515808286</v>
      </c>
      <c r="G36" s="1">
        <f>+C36-F36</f>
        <v>89223377.761174396</v>
      </c>
    </row>
    <row r="37" spans="2:7">
      <c r="B37" s="16">
        <v>3</v>
      </c>
      <c r="C37" s="1">
        <f t="shared" ref="C37:C58" si="1">+G36</f>
        <v>89223377.761174396</v>
      </c>
      <c r="D37" s="1">
        <f t="shared" ref="D37:D58" si="2">+C37*$D$29</f>
        <v>799070.06688745506</v>
      </c>
      <c r="E37" s="1">
        <f t="shared" ref="E37:E58" si="3">+$E$27</f>
        <v>4486330</v>
      </c>
      <c r="F37" s="1">
        <f t="shared" ref="F37:F58" si="4">+E37-D37</f>
        <v>3687259.9331125449</v>
      </c>
      <c r="G37" s="1">
        <f t="shared" ref="G37:G58" si="5">+C37-F37</f>
        <v>85536117.828061849</v>
      </c>
    </row>
    <row r="38" spans="2:7">
      <c r="B38" s="16">
        <v>4</v>
      </c>
      <c r="C38" s="1">
        <f t="shared" si="1"/>
        <v>85536117.828061849</v>
      </c>
      <c r="D38" s="1">
        <f t="shared" si="2"/>
        <v>766047.56633529824</v>
      </c>
      <c r="E38" s="1">
        <f t="shared" si="3"/>
        <v>4486330</v>
      </c>
      <c r="F38" s="1">
        <f t="shared" si="4"/>
        <v>3720282.4336647019</v>
      </c>
      <c r="G38" s="1">
        <f t="shared" si="5"/>
        <v>81815835.39439714</v>
      </c>
    </row>
    <row r="39" spans="2:7">
      <c r="B39" s="16">
        <v>5</v>
      </c>
      <c r="C39" s="1">
        <f t="shared" si="1"/>
        <v>81815835.39439714</v>
      </c>
      <c r="D39" s="1">
        <f t="shared" si="2"/>
        <v>732729.32163640403</v>
      </c>
      <c r="E39" s="1">
        <f t="shared" si="3"/>
        <v>4486330</v>
      </c>
      <c r="F39" s="1">
        <f t="shared" si="4"/>
        <v>3753600.6783635961</v>
      </c>
      <c r="G39" s="1">
        <f t="shared" si="5"/>
        <v>78062234.716033548</v>
      </c>
    </row>
    <row r="40" spans="2:7">
      <c r="B40" s="16">
        <v>6</v>
      </c>
      <c r="C40" s="1">
        <f t="shared" si="1"/>
        <v>78062234.716033548</v>
      </c>
      <c r="D40" s="1">
        <f t="shared" si="2"/>
        <v>699112.68415427126</v>
      </c>
      <c r="E40" s="1">
        <f t="shared" si="3"/>
        <v>4486330</v>
      </c>
      <c r="F40" s="1">
        <f t="shared" si="4"/>
        <v>3787217.3158457289</v>
      </c>
      <c r="G40" s="1">
        <f t="shared" si="5"/>
        <v>74275017.40018782</v>
      </c>
    </row>
    <row r="41" spans="2:7">
      <c r="B41" s="16">
        <v>7</v>
      </c>
      <c r="C41" s="1">
        <f t="shared" si="1"/>
        <v>74275017.40018782</v>
      </c>
      <c r="D41" s="1">
        <f t="shared" si="2"/>
        <v>665194.98153164028</v>
      </c>
      <c r="E41" s="1">
        <f t="shared" si="3"/>
        <v>4486330</v>
      </c>
      <c r="F41" s="1">
        <f t="shared" si="4"/>
        <v>3821135.0184683595</v>
      </c>
      <c r="G41" s="1">
        <f t="shared" si="5"/>
        <v>70453882.381719455</v>
      </c>
    </row>
    <row r="42" spans="2:7">
      <c r="B42" s="16">
        <v>8</v>
      </c>
      <c r="C42" s="1">
        <f t="shared" si="1"/>
        <v>70453882.381719455</v>
      </c>
      <c r="D42" s="1">
        <f t="shared" si="2"/>
        <v>630973.51747805474</v>
      </c>
      <c r="E42" s="1">
        <f t="shared" si="3"/>
        <v>4486330</v>
      </c>
      <c r="F42" s="1">
        <f t="shared" si="4"/>
        <v>3855356.4825219451</v>
      </c>
      <c r="G42" s="1">
        <f t="shared" si="5"/>
        <v>66598525.899197511</v>
      </c>
    </row>
    <row r="43" spans="2:7">
      <c r="B43" s="16">
        <v>9</v>
      </c>
      <c r="C43" s="1">
        <f t="shared" si="1"/>
        <v>66598525.899197511</v>
      </c>
      <c r="D43" s="1">
        <f t="shared" si="2"/>
        <v>596445.57155551924</v>
      </c>
      <c r="E43" s="1">
        <f t="shared" si="3"/>
        <v>4486330</v>
      </c>
      <c r="F43" s="1">
        <f t="shared" si="4"/>
        <v>3889884.4284444805</v>
      </c>
      <c r="G43" s="1">
        <f t="shared" si="5"/>
        <v>62708641.470753029</v>
      </c>
    </row>
    <row r="44" spans="2:7">
      <c r="B44" s="16">
        <v>10</v>
      </c>
      <c r="C44" s="1">
        <f t="shared" si="1"/>
        <v>62708641.470753029</v>
      </c>
      <c r="D44" s="1">
        <f t="shared" si="2"/>
        <v>561608.39896223752</v>
      </c>
      <c r="E44" s="1">
        <f t="shared" si="3"/>
        <v>4486330</v>
      </c>
      <c r="F44" s="1">
        <f t="shared" si="4"/>
        <v>3924721.6010377626</v>
      </c>
      <c r="G44" s="1">
        <f t="shared" si="5"/>
        <v>58783919.869715266</v>
      </c>
    </row>
    <row r="45" spans="2:7">
      <c r="B45" s="16">
        <v>11</v>
      </c>
      <c r="C45" s="1">
        <f t="shared" si="1"/>
        <v>58783919.869715266</v>
      </c>
      <c r="D45" s="1">
        <f t="shared" si="2"/>
        <v>526459.23031441518</v>
      </c>
      <c r="E45" s="1">
        <f t="shared" si="3"/>
        <v>4486330</v>
      </c>
      <c r="F45" s="1">
        <f t="shared" si="4"/>
        <v>3959870.7696855851</v>
      </c>
      <c r="G45" s="1">
        <f t="shared" si="5"/>
        <v>54824049.100029677</v>
      </c>
    </row>
    <row r="46" spans="2:7">
      <c r="B46" s="16">
        <v>12</v>
      </c>
      <c r="C46" s="1">
        <f t="shared" si="1"/>
        <v>54824049.100029677</v>
      </c>
      <c r="D46" s="1">
        <f t="shared" si="2"/>
        <v>490995.27142610628</v>
      </c>
      <c r="E46" s="1">
        <f t="shared" si="3"/>
        <v>4486330</v>
      </c>
      <c r="F46" s="1">
        <f t="shared" si="4"/>
        <v>3995334.7285738937</v>
      </c>
      <c r="G46" s="1">
        <f t="shared" si="5"/>
        <v>50828714.371455781</v>
      </c>
    </row>
    <row r="47" spans="2:7">
      <c r="B47" s="16">
        <v>13</v>
      </c>
      <c r="C47" s="1">
        <f t="shared" si="1"/>
        <v>50828714.371455781</v>
      </c>
      <c r="D47" s="1">
        <f t="shared" si="2"/>
        <v>455213.70308709011</v>
      </c>
      <c r="E47" s="1">
        <f t="shared" si="3"/>
        <v>4486330</v>
      </c>
      <c r="F47" s="1">
        <f t="shared" si="4"/>
        <v>4031116.29691291</v>
      </c>
      <c r="G47" s="1">
        <f t="shared" si="5"/>
        <v>46797598.074542873</v>
      </c>
    </row>
    <row r="48" spans="2:7">
      <c r="B48" s="16">
        <v>14</v>
      </c>
      <c r="C48" s="1">
        <f t="shared" si="1"/>
        <v>46797598.074542873</v>
      </c>
      <c r="D48" s="1">
        <f t="shared" si="2"/>
        <v>419111.68083875743</v>
      </c>
      <c r="E48" s="1">
        <f t="shared" si="3"/>
        <v>4486330</v>
      </c>
      <c r="F48" s="1">
        <f t="shared" si="4"/>
        <v>4067218.3191612428</v>
      </c>
      <c r="G48" s="1">
        <f t="shared" si="5"/>
        <v>42730379.755381629</v>
      </c>
    </row>
    <row r="49" spans="2:7">
      <c r="B49" s="16">
        <v>15</v>
      </c>
      <c r="C49" s="1">
        <f t="shared" si="1"/>
        <v>42730379.755381629</v>
      </c>
      <c r="D49" s="1">
        <f t="shared" si="2"/>
        <v>382686.33474799001</v>
      </c>
      <c r="E49" s="1">
        <f t="shared" si="3"/>
        <v>4486330</v>
      </c>
      <c r="F49" s="1">
        <f t="shared" si="4"/>
        <v>4103643.6652520099</v>
      </c>
      <c r="G49" s="1">
        <f t="shared" si="5"/>
        <v>38626736.090129621</v>
      </c>
    </row>
    <row r="50" spans="2:7">
      <c r="B50" s="16">
        <v>16</v>
      </c>
      <c r="C50" s="1">
        <f t="shared" si="1"/>
        <v>38626736.090129621</v>
      </c>
      <c r="D50" s="1">
        <f t="shared" si="2"/>
        <v>345934.7691790153</v>
      </c>
      <c r="E50" s="1">
        <f t="shared" si="3"/>
        <v>4486330</v>
      </c>
      <c r="F50" s="1">
        <f t="shared" si="4"/>
        <v>4140395.2308209846</v>
      </c>
      <c r="G50" s="1">
        <f t="shared" si="5"/>
        <v>34486340.859308638</v>
      </c>
    </row>
    <row r="51" spans="2:7">
      <c r="B51" s="16">
        <v>17</v>
      </c>
      <c r="C51" s="1">
        <f t="shared" si="1"/>
        <v>34486340.859308638</v>
      </c>
      <c r="D51" s="1">
        <f t="shared" si="2"/>
        <v>308854.0625632173</v>
      </c>
      <c r="E51" s="1">
        <f t="shared" si="3"/>
        <v>4486330</v>
      </c>
      <c r="F51" s="1">
        <f t="shared" si="4"/>
        <v>4177475.9374367828</v>
      </c>
      <c r="G51" s="1">
        <f t="shared" si="5"/>
        <v>30308864.921871856</v>
      </c>
    </row>
    <row r="52" spans="2:7">
      <c r="B52" s="16">
        <v>18</v>
      </c>
      <c r="C52" s="1">
        <f t="shared" si="1"/>
        <v>30308864.921871856</v>
      </c>
      <c r="D52" s="1">
        <f t="shared" si="2"/>
        <v>271441.2671668866</v>
      </c>
      <c r="E52" s="1">
        <f t="shared" si="3"/>
        <v>4486330</v>
      </c>
      <c r="F52" s="1">
        <f t="shared" si="4"/>
        <v>4214888.7328331135</v>
      </c>
      <c r="G52" s="1">
        <f t="shared" si="5"/>
        <v>26093976.189038742</v>
      </c>
    </row>
    <row r="53" spans="2:7">
      <c r="B53" s="16">
        <v>19</v>
      </c>
      <c r="C53" s="1">
        <f t="shared" si="1"/>
        <v>26093976.189038742</v>
      </c>
      <c r="D53" s="1">
        <f t="shared" si="2"/>
        <v>233693.4088568897</v>
      </c>
      <c r="E53" s="1">
        <f t="shared" si="3"/>
        <v>4486330</v>
      </c>
      <c r="F53" s="1">
        <f t="shared" si="4"/>
        <v>4252636.5911431108</v>
      </c>
      <c r="G53" s="1">
        <f t="shared" si="5"/>
        <v>21841339.59789563</v>
      </c>
    </row>
    <row r="54" spans="2:7">
      <c r="B54" s="16">
        <v>20</v>
      </c>
      <c r="C54" s="1">
        <f t="shared" si="1"/>
        <v>21841339.59789563</v>
      </c>
      <c r="D54" s="1">
        <f t="shared" si="2"/>
        <v>195607.48686424043</v>
      </c>
      <c r="E54" s="1">
        <f t="shared" si="3"/>
        <v>4486330</v>
      </c>
      <c r="F54" s="1">
        <f t="shared" si="4"/>
        <v>4290722.5131357592</v>
      </c>
      <c r="G54" s="1">
        <f t="shared" si="5"/>
        <v>17550617.084759869</v>
      </c>
    </row>
    <row r="55" spans="2:7">
      <c r="B55" s="16">
        <v>21</v>
      </c>
      <c r="C55" s="1">
        <f t="shared" si="1"/>
        <v>17550617.084759869</v>
      </c>
      <c r="D55" s="1">
        <f t="shared" si="2"/>
        <v>157180.47354555328</v>
      </c>
      <c r="E55" s="1">
        <f t="shared" si="3"/>
        <v>4486330</v>
      </c>
      <c r="F55" s="1">
        <f t="shared" si="4"/>
        <v>4329149.5264544468</v>
      </c>
      <c r="G55" s="1">
        <f t="shared" si="5"/>
        <v>13221467.558305422</v>
      </c>
    </row>
    <row r="56" spans="2:7">
      <c r="B56" s="16">
        <v>22</v>
      </c>
      <c r="C56" s="1">
        <f t="shared" si="1"/>
        <v>13221467.558305422</v>
      </c>
      <c r="D56" s="1">
        <f t="shared" si="2"/>
        <v>118409.31414236083</v>
      </c>
      <c r="E56" s="1">
        <f t="shared" si="3"/>
        <v>4486330</v>
      </c>
      <c r="F56" s="1">
        <f t="shared" si="4"/>
        <v>4367920.6858576387</v>
      </c>
      <c r="G56" s="1">
        <f t="shared" si="5"/>
        <v>8853546.8724477831</v>
      </c>
    </row>
    <row r="57" spans="2:7">
      <c r="B57" s="16">
        <v>23</v>
      </c>
      <c r="C57" s="1">
        <f t="shared" si="1"/>
        <v>8853546.8724477831</v>
      </c>
      <c r="D57" s="1">
        <f t="shared" si="2"/>
        <v>79290.926538275336</v>
      </c>
      <c r="E57" s="1">
        <f t="shared" si="3"/>
        <v>4486330</v>
      </c>
      <c r="F57" s="1">
        <f t="shared" si="4"/>
        <v>4407039.0734617244</v>
      </c>
      <c r="G57" s="1">
        <f t="shared" si="5"/>
        <v>4446507.7989860587</v>
      </c>
    </row>
    <row r="58" spans="2:7">
      <c r="B58" s="50">
        <v>24</v>
      </c>
      <c r="C58" s="8">
        <f t="shared" si="1"/>
        <v>4446507.7989860587</v>
      </c>
      <c r="D58" s="8">
        <f t="shared" si="2"/>
        <v>39822.201013975755</v>
      </c>
      <c r="E58" s="8">
        <f t="shared" si="3"/>
        <v>4486330</v>
      </c>
      <c r="F58" s="8">
        <f t="shared" si="4"/>
        <v>4446507.7989860242</v>
      </c>
      <c r="G58" s="23">
        <f t="shared" si="5"/>
        <v>3.4458935260772705E-8</v>
      </c>
    </row>
    <row r="60" spans="2:7">
      <c r="C60" s="1" t="s">
        <v>231</v>
      </c>
      <c r="E60" s="1">
        <v>49669792</v>
      </c>
    </row>
    <row r="61" spans="2:7">
      <c r="C61" s="1" t="s">
        <v>100</v>
      </c>
    </row>
    <row r="62" spans="2:7">
      <c r="C62" s="1" t="s">
        <v>229</v>
      </c>
      <c r="E62" s="8">
        <f>SUM(F40:F51)*-1</f>
        <v>-47753369.794161677</v>
      </c>
    </row>
    <row r="63" spans="2:7">
      <c r="C63" s="2" t="s">
        <v>232</v>
      </c>
      <c r="D63" s="2"/>
      <c r="E63" s="2">
        <f>+E60+E62</f>
        <v>1916422.2058383226</v>
      </c>
    </row>
    <row r="66" spans="2:6">
      <c r="C66" s="1" t="s">
        <v>233</v>
      </c>
      <c r="E66" s="1">
        <v>30663974</v>
      </c>
    </row>
    <row r="67" spans="2:6">
      <c r="C67" s="1" t="s">
        <v>100</v>
      </c>
    </row>
    <row r="68" spans="2:6">
      <c r="C68" s="1" t="s">
        <v>230</v>
      </c>
      <c r="E68" s="8">
        <f>SUM(F52:F58)*-1</f>
        <v>-30308864.921871819</v>
      </c>
    </row>
    <row r="69" spans="2:6">
      <c r="C69" s="2" t="s">
        <v>258</v>
      </c>
      <c r="E69" s="2">
        <f>+E66+E68</f>
        <v>355109.0781281814</v>
      </c>
    </row>
    <row r="73" spans="2:6">
      <c r="B73" s="23" t="s">
        <v>86</v>
      </c>
      <c r="C73" s="23"/>
      <c r="D73" s="23"/>
      <c r="E73" s="23" t="s">
        <v>235</v>
      </c>
      <c r="F73" s="23" t="s">
        <v>236</v>
      </c>
    </row>
    <row r="74" spans="2:6">
      <c r="B74" s="66"/>
      <c r="C74" s="66"/>
    </row>
    <row r="75" spans="2:6">
      <c r="B75" s="1" t="s">
        <v>69</v>
      </c>
      <c r="E75" s="1">
        <f>+E63</f>
        <v>1916422.2058383226</v>
      </c>
    </row>
    <row r="76" spans="2:6">
      <c r="B76" s="1" t="s">
        <v>70</v>
      </c>
      <c r="E76" s="1">
        <f>+E69</f>
        <v>355109.0781281814</v>
      </c>
    </row>
    <row r="77" spans="2:6">
      <c r="B77" s="1" t="s">
        <v>234</v>
      </c>
      <c r="F77" s="1">
        <f>+E76+E75</f>
        <v>2271531.283966504</v>
      </c>
    </row>
  </sheetData>
  <mergeCells count="1">
    <mergeCell ref="B74:C7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showGridLines="0" tabSelected="1" zoomScale="130" zoomScaleNormal="130" workbookViewId="0">
      <selection sqref="A1:XFD1048576"/>
    </sheetView>
  </sheetViews>
  <sheetFormatPr baseColWidth="10" defaultColWidth="11.42578125" defaultRowHeight="15"/>
  <cols>
    <col min="1" max="1" width="11.42578125" style="1"/>
    <col min="2" max="2" width="10.28515625" style="1" customWidth="1"/>
    <col min="3" max="3" width="52.5703125" style="1" customWidth="1"/>
    <col min="4" max="4" width="15.28515625" style="1" hidden="1" customWidth="1"/>
    <col min="5" max="5" width="19.85546875" style="1" customWidth="1"/>
    <col min="6" max="6" width="20" style="1" customWidth="1"/>
    <col min="7" max="7" width="12.42578125" style="1" bestFit="1" customWidth="1"/>
    <col min="8" max="16384" width="11.42578125" style="1"/>
  </cols>
  <sheetData>
    <row r="2" spans="2:7" ht="18.75">
      <c r="B2" s="51" t="s">
        <v>242</v>
      </c>
    </row>
    <row r="4" spans="2:7">
      <c r="B4" s="23" t="s">
        <v>238</v>
      </c>
      <c r="C4" s="23"/>
      <c r="D4" s="23"/>
      <c r="E4" s="23"/>
      <c r="F4" s="23">
        <v>462754446</v>
      </c>
    </row>
    <row r="5" spans="2:7">
      <c r="B5" s="1" t="s">
        <v>239</v>
      </c>
    </row>
    <row r="6" spans="2:7">
      <c r="B6" s="56" t="s">
        <v>269</v>
      </c>
      <c r="C6" s="1" t="s">
        <v>68</v>
      </c>
      <c r="D6" s="1">
        <v>-8550250</v>
      </c>
      <c r="E6" s="52">
        <f>+D6*-1</f>
        <v>8550250</v>
      </c>
    </row>
    <row r="7" spans="2:7">
      <c r="B7" s="56" t="s">
        <v>270</v>
      </c>
      <c r="C7" s="1" t="s">
        <v>259</v>
      </c>
      <c r="D7" s="1">
        <v>4646537</v>
      </c>
      <c r="E7" s="52">
        <f t="shared" ref="E7:E17" si="0">+D7*-1</f>
        <v>-4646537</v>
      </c>
    </row>
    <row r="8" spans="2:7">
      <c r="B8" s="56" t="s">
        <v>271</v>
      </c>
      <c r="C8" s="1" t="s">
        <v>42</v>
      </c>
      <c r="D8" s="1">
        <v>-2750000</v>
      </c>
      <c r="E8" s="52">
        <f t="shared" si="0"/>
        <v>2750000</v>
      </c>
    </row>
    <row r="9" spans="2:7">
      <c r="B9" s="56" t="s">
        <v>272</v>
      </c>
      <c r="C9" s="1" t="s">
        <v>260</v>
      </c>
      <c r="D9" s="1">
        <v>784533</v>
      </c>
      <c r="E9" s="52">
        <f t="shared" si="0"/>
        <v>-784533</v>
      </c>
    </row>
    <row r="10" spans="2:7">
      <c r="B10" s="56" t="s">
        <v>273</v>
      </c>
      <c r="C10" s="1" t="s">
        <v>261</v>
      </c>
      <c r="D10" s="1">
        <v>-365132214</v>
      </c>
      <c r="E10" s="52">
        <f t="shared" si="0"/>
        <v>365132214</v>
      </c>
    </row>
    <row r="11" spans="2:7">
      <c r="B11" s="56" t="s">
        <v>274</v>
      </c>
      <c r="C11" s="1" t="s">
        <v>262</v>
      </c>
      <c r="D11" s="1">
        <v>-29343760</v>
      </c>
      <c r="E11" s="52">
        <f t="shared" si="0"/>
        <v>29343760</v>
      </c>
    </row>
    <row r="12" spans="2:7">
      <c r="B12" s="56" t="s">
        <v>275</v>
      </c>
      <c r="C12" s="1" t="s">
        <v>263</v>
      </c>
      <c r="D12" s="1">
        <v>-232273381</v>
      </c>
      <c r="E12" s="52">
        <f t="shared" si="0"/>
        <v>232273381</v>
      </c>
      <c r="G12" s="57"/>
    </row>
    <row r="13" spans="2:7">
      <c r="B13" s="56" t="s">
        <v>276</v>
      </c>
      <c r="C13" s="1" t="s">
        <v>264</v>
      </c>
      <c r="D13" s="1">
        <v>-5215350</v>
      </c>
      <c r="E13" s="52">
        <f t="shared" si="0"/>
        <v>5215350</v>
      </c>
    </row>
    <row r="14" spans="2:7">
      <c r="B14" s="56" t="s">
        <v>277</v>
      </c>
      <c r="C14" s="1" t="s">
        <v>265</v>
      </c>
      <c r="D14" s="1">
        <v>1069079</v>
      </c>
      <c r="E14" s="52">
        <f t="shared" si="0"/>
        <v>-1069079</v>
      </c>
    </row>
    <row r="15" spans="2:7">
      <c r="B15" s="56" t="s">
        <v>280</v>
      </c>
      <c r="C15" s="1" t="s">
        <v>266</v>
      </c>
      <c r="D15" s="1">
        <v>-742325</v>
      </c>
      <c r="E15" s="52">
        <f t="shared" si="0"/>
        <v>742325</v>
      </c>
    </row>
    <row r="16" spans="2:7">
      <c r="B16" s="56" t="s">
        <v>278</v>
      </c>
      <c r="C16" s="1" t="s">
        <v>267</v>
      </c>
      <c r="D16" s="1">
        <v>-14000000</v>
      </c>
      <c r="E16" s="52">
        <f t="shared" si="0"/>
        <v>14000000</v>
      </c>
    </row>
    <row r="17" spans="2:6">
      <c r="B17" s="56" t="s">
        <v>279</v>
      </c>
      <c r="C17" s="1" t="s">
        <v>268</v>
      </c>
      <c r="D17" s="1">
        <v>-2271531.2839664035</v>
      </c>
      <c r="E17" s="52">
        <f t="shared" si="0"/>
        <v>2271531.2839664035</v>
      </c>
    </row>
    <row r="18" spans="2:6">
      <c r="B18" s="23" t="s">
        <v>240</v>
      </c>
      <c r="C18" s="23"/>
      <c r="D18" s="23">
        <v>-653778663.28396642</v>
      </c>
      <c r="E18" s="23"/>
      <c r="F18" s="23">
        <f>SUM(E6:E17)</f>
        <v>653778662.28396642</v>
      </c>
    </row>
    <row r="20" spans="2:6">
      <c r="B20" s="2" t="s">
        <v>241</v>
      </c>
      <c r="C20" s="2"/>
      <c r="D20" s="2"/>
      <c r="E20" s="2"/>
      <c r="F20" s="2">
        <f>SUM(F4:F19)</f>
        <v>1116533108.2839665</v>
      </c>
    </row>
    <row r="21" spans="2:6">
      <c r="B21" s="8"/>
      <c r="C21" s="8"/>
      <c r="D21" s="8"/>
      <c r="E21" s="8"/>
      <c r="F21" s="8"/>
    </row>
    <row r="23" spans="2:6">
      <c r="B23" s="1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6"/>
  <sheetViews>
    <sheetView showGridLines="0" zoomScale="130" zoomScaleNormal="130" workbookViewId="0"/>
  </sheetViews>
  <sheetFormatPr baseColWidth="10" defaultColWidth="11.42578125" defaultRowHeight="15"/>
  <cols>
    <col min="1" max="3" width="11.42578125" style="1"/>
    <col min="4" max="4" width="26.28515625" style="1" customWidth="1"/>
    <col min="5" max="6" width="13.28515625" style="1" bestFit="1" customWidth="1"/>
    <col min="7" max="16384" width="11.42578125" style="1"/>
  </cols>
  <sheetData>
    <row r="3" spans="2:6">
      <c r="B3" s="2" t="s">
        <v>80</v>
      </c>
    </row>
    <row r="5" spans="2:6">
      <c r="B5" s="2" t="s">
        <v>81</v>
      </c>
    </row>
    <row r="7" spans="2:6">
      <c r="B7" s="1" t="s">
        <v>82</v>
      </c>
    </row>
    <row r="9" spans="2:6">
      <c r="B9" s="2" t="s">
        <v>83</v>
      </c>
    </row>
    <row r="11" spans="2:6">
      <c r="B11" s="1" t="s">
        <v>84</v>
      </c>
    </row>
    <row r="14" spans="2:6">
      <c r="B14" s="2" t="s">
        <v>85</v>
      </c>
    </row>
    <row r="16" spans="2:6">
      <c r="B16" s="1" t="s">
        <v>245</v>
      </c>
      <c r="F16" s="1">
        <v>8550250</v>
      </c>
    </row>
    <row r="20" spans="2:6">
      <c r="B20" s="2" t="s">
        <v>86</v>
      </c>
    </row>
    <row r="23" spans="2:6">
      <c r="B23" s="65" t="s">
        <v>87</v>
      </c>
      <c r="C23" s="65"/>
      <c r="D23" s="23"/>
      <c r="E23" s="23" t="s">
        <v>88</v>
      </c>
      <c r="F23" s="23" t="s">
        <v>89</v>
      </c>
    </row>
    <row r="25" spans="2:6">
      <c r="B25" s="1" t="s">
        <v>90</v>
      </c>
      <c r="E25" s="1">
        <f>+F16</f>
        <v>8550250</v>
      </c>
    </row>
    <row r="26" spans="2:6">
      <c r="C26" s="1" t="s">
        <v>91</v>
      </c>
      <c r="F26" s="1">
        <f>+E25</f>
        <v>8550250</v>
      </c>
    </row>
  </sheetData>
  <mergeCells count="1">
    <mergeCell ref="B23:C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showGridLines="0" workbookViewId="0"/>
  </sheetViews>
  <sheetFormatPr baseColWidth="10" defaultColWidth="11.42578125" defaultRowHeight="15"/>
  <cols>
    <col min="1" max="3" width="11.42578125" style="1"/>
    <col min="4" max="4" width="26.28515625" style="1" customWidth="1"/>
    <col min="5" max="6" width="13.28515625" style="1" bestFit="1" customWidth="1"/>
    <col min="7" max="16384" width="11.42578125" style="1"/>
  </cols>
  <sheetData>
    <row r="3" spans="2:2">
      <c r="B3" s="2" t="s">
        <v>94</v>
      </c>
    </row>
    <row r="5" spans="2:2">
      <c r="B5" s="2" t="s">
        <v>81</v>
      </c>
    </row>
    <row r="7" spans="2:2">
      <c r="B7" s="1" t="s">
        <v>246</v>
      </c>
    </row>
    <row r="9" spans="2:2">
      <c r="B9" s="2" t="s">
        <v>83</v>
      </c>
    </row>
    <row r="11" spans="2:2">
      <c r="B11" s="1" t="s">
        <v>247</v>
      </c>
    </row>
    <row r="14" spans="2:2">
      <c r="B14" s="2" t="s">
        <v>85</v>
      </c>
    </row>
    <row r="22" spans="2:7">
      <c r="B22" s="23" t="s">
        <v>86</v>
      </c>
      <c r="C22" s="8"/>
      <c r="D22" s="8"/>
      <c r="E22" s="8"/>
      <c r="F22" s="23" t="s">
        <v>88</v>
      </c>
      <c r="G22" s="23" t="s">
        <v>89</v>
      </c>
    </row>
    <row r="23" spans="2:7">
      <c r="C23" s="1" t="s">
        <v>139</v>
      </c>
      <c r="F23" s="1">
        <f>+G24+G25</f>
        <v>4646537</v>
      </c>
    </row>
    <row r="24" spans="2:7">
      <c r="D24" s="1" t="s">
        <v>45</v>
      </c>
      <c r="G24" s="1">
        <v>2850890</v>
      </c>
    </row>
    <row r="25" spans="2:7">
      <c r="B25" s="66"/>
      <c r="C25" s="66"/>
      <c r="D25" s="1" t="s">
        <v>46</v>
      </c>
      <c r="G25" s="1">
        <v>1795647</v>
      </c>
    </row>
  </sheetData>
  <mergeCells count="1">
    <mergeCell ref="B25:C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showGridLines="0" zoomScale="115" zoomScaleNormal="115" workbookViewId="0"/>
  </sheetViews>
  <sheetFormatPr baseColWidth="10" defaultColWidth="11.42578125" defaultRowHeight="15"/>
  <cols>
    <col min="1" max="2" width="11.42578125" style="1"/>
    <col min="3" max="3" width="22.42578125" style="1" customWidth="1"/>
    <col min="4" max="4" width="14.140625" style="1" bestFit="1" customWidth="1"/>
    <col min="5" max="16384" width="11.42578125" style="1"/>
  </cols>
  <sheetData>
    <row r="2" spans="2:2">
      <c r="B2" s="2" t="s">
        <v>96</v>
      </c>
    </row>
    <row r="4" spans="2:2">
      <c r="B4" s="2" t="s">
        <v>81</v>
      </c>
    </row>
    <row r="6" spans="2:2">
      <c r="B6" s="1" t="s">
        <v>248</v>
      </c>
    </row>
    <row r="8" spans="2:2">
      <c r="B8" s="2" t="s">
        <v>83</v>
      </c>
    </row>
    <row r="10" spans="2:2">
      <c r="B10" s="1" t="s">
        <v>249</v>
      </c>
    </row>
    <row r="13" spans="2:2">
      <c r="B13" s="2" t="s">
        <v>85</v>
      </c>
    </row>
    <row r="15" spans="2:2">
      <c r="B15" s="1" t="s">
        <v>250</v>
      </c>
    </row>
    <row r="17" spans="2:6">
      <c r="B17" s="1" t="s">
        <v>97</v>
      </c>
      <c r="D17" s="1">
        <v>2500</v>
      </c>
    </row>
    <row r="18" spans="2:6">
      <c r="B18" s="1" t="s">
        <v>98</v>
      </c>
      <c r="D18" s="1">
        <v>7600</v>
      </c>
    </row>
    <row r="19" spans="2:6">
      <c r="B19" s="1" t="s">
        <v>99</v>
      </c>
      <c r="D19" s="1">
        <f>+D17*D18</f>
        <v>19000000</v>
      </c>
    </row>
    <row r="20" spans="2:6">
      <c r="B20" s="1" t="s">
        <v>100</v>
      </c>
    </row>
    <row r="21" spans="2:6">
      <c r="B21" s="1" t="s">
        <v>101</v>
      </c>
      <c r="D21" s="8">
        <v>-16250000</v>
      </c>
    </row>
    <row r="22" spans="2:6">
      <c r="B22" s="2" t="s">
        <v>102</v>
      </c>
      <c r="C22" s="2"/>
      <c r="D22" s="49">
        <f>+D19+D21</f>
        <v>2750000</v>
      </c>
    </row>
    <row r="25" spans="2:6">
      <c r="B25" s="23" t="s">
        <v>86</v>
      </c>
      <c r="C25" s="23"/>
      <c r="D25" s="23"/>
      <c r="E25" s="23" t="s">
        <v>88</v>
      </c>
      <c r="F25" s="23" t="s">
        <v>89</v>
      </c>
    </row>
    <row r="26" spans="2:6">
      <c r="B26" s="1" t="s">
        <v>251</v>
      </c>
      <c r="E26" s="1">
        <f>+D22</f>
        <v>2750000</v>
      </c>
    </row>
    <row r="27" spans="2:6">
      <c r="C27" s="1" t="s">
        <v>79</v>
      </c>
      <c r="F27" s="1">
        <f>+E26</f>
        <v>2750000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showGridLines="0" workbookViewId="0"/>
  </sheetViews>
  <sheetFormatPr baseColWidth="10" defaultColWidth="11.42578125" defaultRowHeight="15"/>
  <cols>
    <col min="1" max="2" width="11.42578125" style="1"/>
    <col min="3" max="3" width="30.5703125" style="1" customWidth="1"/>
    <col min="4" max="4" width="13.28515625" style="1" bestFit="1" customWidth="1"/>
    <col min="5" max="16384" width="11.42578125" style="1"/>
  </cols>
  <sheetData>
    <row r="2" spans="2:2">
      <c r="B2" s="2" t="s">
        <v>103</v>
      </c>
    </row>
    <row r="4" spans="2:2">
      <c r="B4" s="2" t="s">
        <v>81</v>
      </c>
    </row>
    <row r="6" spans="2:2">
      <c r="B6" s="1" t="s">
        <v>252</v>
      </c>
    </row>
    <row r="8" spans="2:2">
      <c r="B8" s="2" t="s">
        <v>83</v>
      </c>
    </row>
    <row r="10" spans="2:2">
      <c r="B10" s="1" t="s">
        <v>253</v>
      </c>
    </row>
    <row r="13" spans="2:2">
      <c r="B13" s="2" t="s">
        <v>104</v>
      </c>
    </row>
    <row r="15" spans="2:2">
      <c r="B15" s="1" t="s">
        <v>105</v>
      </c>
    </row>
    <row r="17" spans="2:6">
      <c r="B17" s="1" t="s">
        <v>106</v>
      </c>
      <c r="D17" s="1">
        <v>1880360</v>
      </c>
    </row>
    <row r="18" spans="2:6">
      <c r="B18" s="1" t="s">
        <v>107</v>
      </c>
      <c r="D18" s="8">
        <v>2425000</v>
      </c>
    </row>
    <row r="19" spans="2:6">
      <c r="B19" s="1" t="s">
        <v>108</v>
      </c>
      <c r="D19" s="1">
        <f>+D17+D18</f>
        <v>4305360</v>
      </c>
    </row>
    <row r="21" spans="2:6">
      <c r="B21" s="1" t="s">
        <v>100</v>
      </c>
    </row>
    <row r="23" spans="2:6">
      <c r="B23" s="1" t="s">
        <v>109</v>
      </c>
      <c r="D23" s="1">
        <v>-3520827</v>
      </c>
    </row>
    <row r="24" spans="2:6">
      <c r="D24" s="8"/>
    </row>
    <row r="25" spans="2:6">
      <c r="B25" s="2" t="s">
        <v>110</v>
      </c>
      <c r="C25" s="2"/>
      <c r="D25" s="2">
        <f>+D19+D23</f>
        <v>784533</v>
      </c>
    </row>
    <row r="29" spans="2:6">
      <c r="B29" s="23" t="s">
        <v>86</v>
      </c>
      <c r="C29" s="23"/>
      <c r="D29" s="23"/>
      <c r="E29" s="23" t="s">
        <v>88</v>
      </c>
      <c r="F29" s="23" t="s">
        <v>89</v>
      </c>
    </row>
    <row r="30" spans="2:6">
      <c r="B30" s="1" t="s">
        <v>79</v>
      </c>
      <c r="E30" s="1">
        <f>+D25</f>
        <v>784533</v>
      </c>
    </row>
    <row r="31" spans="2:6">
      <c r="C31" s="1" t="s">
        <v>254</v>
      </c>
      <c r="F31" s="1">
        <f>+E30</f>
        <v>784533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2"/>
  <sheetViews>
    <sheetView showGridLines="0" zoomScale="130" zoomScaleNormal="130" workbookViewId="0">
      <selection sqref="A1:XFD1048576"/>
    </sheetView>
  </sheetViews>
  <sheetFormatPr baseColWidth="10" defaultColWidth="11.42578125" defaultRowHeight="15"/>
  <cols>
    <col min="1" max="2" width="11.42578125" style="1"/>
    <col min="3" max="3" width="15.28515625" style="1" customWidth="1"/>
    <col min="4" max="4" width="26.28515625" style="1" customWidth="1"/>
    <col min="5" max="6" width="13.28515625" style="1" bestFit="1" customWidth="1"/>
    <col min="7" max="16384" width="11.42578125" style="1"/>
  </cols>
  <sheetData>
    <row r="3" spans="2:5">
      <c r="B3" s="2" t="s">
        <v>116</v>
      </c>
    </row>
    <row r="5" spans="2:5">
      <c r="B5" s="2" t="s">
        <v>81</v>
      </c>
    </row>
    <row r="7" spans="2:5">
      <c r="B7" s="1" t="s">
        <v>124</v>
      </c>
    </row>
    <row r="9" spans="2:5">
      <c r="B9" s="2" t="s">
        <v>83</v>
      </c>
    </row>
    <row r="11" spans="2:5">
      <c r="B11" s="1" t="s">
        <v>282</v>
      </c>
    </row>
    <row r="12" spans="2:5">
      <c r="B12" s="1" t="s">
        <v>283</v>
      </c>
    </row>
    <row r="14" spans="2:5">
      <c r="B14" s="2" t="s">
        <v>85</v>
      </c>
      <c r="D14" s="14">
        <v>22296.19</v>
      </c>
      <c r="E14" s="1" t="s">
        <v>134</v>
      </c>
    </row>
    <row r="16" spans="2:5">
      <c r="B16" s="8" t="s">
        <v>125</v>
      </c>
      <c r="C16" s="8" t="s">
        <v>130</v>
      </c>
      <c r="D16" s="13" t="s">
        <v>132</v>
      </c>
      <c r="E16" s="8" t="s">
        <v>133</v>
      </c>
    </row>
    <row r="18" spans="2:6">
      <c r="B18" s="1" t="s">
        <v>127</v>
      </c>
      <c r="C18" s="1">
        <v>9279378</v>
      </c>
      <c r="D18" s="1">
        <f>ROUND(5075*D14,0)</f>
        <v>113153164</v>
      </c>
      <c r="E18" s="1">
        <f>+D18-C18</f>
        <v>103873786</v>
      </c>
    </row>
    <row r="19" spans="2:6">
      <c r="B19" s="1" t="s">
        <v>129</v>
      </c>
      <c r="C19" s="1">
        <v>11599223</v>
      </c>
      <c r="D19" s="1">
        <f>ROUND(8700*D14,0)</f>
        <v>193976853</v>
      </c>
      <c r="E19" s="1">
        <f t="shared" ref="E19:E20" si="0">+D19-C19</f>
        <v>182377630</v>
      </c>
    </row>
    <row r="20" spans="2:6">
      <c r="B20" s="8" t="s">
        <v>128</v>
      </c>
      <c r="C20" s="8">
        <v>6959534</v>
      </c>
      <c r="D20" s="8">
        <f>ROUND(3850*D14,0)</f>
        <v>85840332</v>
      </c>
      <c r="E20" s="8">
        <f t="shared" si="0"/>
        <v>78880798</v>
      </c>
    </row>
    <row r="21" spans="2:6">
      <c r="C21" s="1">
        <f>SUM(C18:C20)</f>
        <v>27838135</v>
      </c>
      <c r="D21" s="1">
        <f>SUM(D18:D20)</f>
        <v>392970349</v>
      </c>
      <c r="E21" s="2">
        <f>SUM(E18:E20)</f>
        <v>365132214</v>
      </c>
    </row>
    <row r="22" spans="2:6">
      <c r="B22" s="1" t="s">
        <v>131</v>
      </c>
      <c r="C22" s="1">
        <v>27838135</v>
      </c>
    </row>
    <row r="25" spans="2:6">
      <c r="B25" s="2" t="s">
        <v>86</v>
      </c>
    </row>
    <row r="28" spans="2:6">
      <c r="B28" s="67" t="s">
        <v>135</v>
      </c>
      <c r="C28" s="67"/>
      <c r="D28" s="67"/>
      <c r="E28" s="8" t="s">
        <v>88</v>
      </c>
      <c r="F28" s="8" t="s">
        <v>89</v>
      </c>
    </row>
    <row r="29" spans="2:6">
      <c r="C29" s="1" t="s">
        <v>136</v>
      </c>
      <c r="E29" s="1">
        <f>+E18</f>
        <v>103873786</v>
      </c>
    </row>
    <row r="30" spans="2:6">
      <c r="C30" s="1" t="s">
        <v>137</v>
      </c>
      <c r="E30" s="1">
        <f t="shared" ref="E30:E31" si="1">+E19</f>
        <v>182377630</v>
      </c>
    </row>
    <row r="31" spans="2:6">
      <c r="C31" s="1" t="s">
        <v>138</v>
      </c>
      <c r="E31" s="1">
        <f t="shared" si="1"/>
        <v>78880798</v>
      </c>
    </row>
    <row r="32" spans="2:6">
      <c r="D32" s="1" t="s">
        <v>139</v>
      </c>
      <c r="F32" s="1">
        <f>+E21</f>
        <v>365132214</v>
      </c>
    </row>
  </sheetData>
  <mergeCells count="1">
    <mergeCell ref="B28:D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9"/>
  <sheetViews>
    <sheetView showGridLines="0" zoomScale="150" zoomScaleNormal="150" workbookViewId="0">
      <selection sqref="A1:XFD1048576"/>
    </sheetView>
  </sheetViews>
  <sheetFormatPr baseColWidth="10" defaultColWidth="11.42578125" defaultRowHeight="15"/>
  <cols>
    <col min="1" max="2" width="11.42578125" style="1"/>
    <col min="3" max="3" width="15.28515625" style="1" customWidth="1"/>
    <col min="4" max="4" width="34.7109375" style="1" customWidth="1"/>
    <col min="5" max="5" width="13.28515625" style="1" bestFit="1" customWidth="1"/>
    <col min="6" max="6" width="14.42578125" style="1" customWidth="1"/>
    <col min="7" max="7" width="13.28515625" style="1" customWidth="1"/>
    <col min="8" max="16384" width="11.42578125" style="1"/>
  </cols>
  <sheetData>
    <row r="3" spans="2:7">
      <c r="B3" s="2" t="s">
        <v>117</v>
      </c>
    </row>
    <row r="5" spans="2:7">
      <c r="B5" s="2" t="s">
        <v>81</v>
      </c>
    </row>
    <row r="7" spans="2:7">
      <c r="B7" s="1" t="s">
        <v>141</v>
      </c>
    </row>
    <row r="9" spans="2:7">
      <c r="B9" s="2" t="s">
        <v>83</v>
      </c>
    </row>
    <row r="11" spans="2:7">
      <c r="B11" s="1" t="s">
        <v>282</v>
      </c>
    </row>
    <row r="12" spans="2:7">
      <c r="B12" s="1" t="s">
        <v>283</v>
      </c>
    </row>
    <row r="14" spans="2:7">
      <c r="B14" s="2" t="s">
        <v>85</v>
      </c>
      <c r="D14" s="14"/>
    </row>
    <row r="16" spans="2:7">
      <c r="B16" s="8" t="s">
        <v>125</v>
      </c>
      <c r="C16" s="15" t="s">
        <v>145</v>
      </c>
      <c r="D16" s="13" t="s">
        <v>146</v>
      </c>
      <c r="E16" s="8" t="s">
        <v>147</v>
      </c>
      <c r="F16" s="8" t="s">
        <v>132</v>
      </c>
      <c r="G16" s="13" t="s">
        <v>133</v>
      </c>
    </row>
    <row r="17" spans="2:7">
      <c r="B17" s="1" t="s">
        <v>142</v>
      </c>
      <c r="C17" s="1">
        <f>85085035+3602930</f>
        <v>88687965</v>
      </c>
      <c r="D17" s="1">
        <f>-27667780-1443111</f>
        <v>-29110891</v>
      </c>
      <c r="E17" s="1">
        <f>+C17+D17</f>
        <v>59577074</v>
      </c>
      <c r="F17" s="1">
        <v>65450690</v>
      </c>
      <c r="G17" s="1">
        <f>+F17-E17</f>
        <v>5873616</v>
      </c>
    </row>
    <row r="18" spans="2:7">
      <c r="B18" s="1" t="s">
        <v>143</v>
      </c>
      <c r="C18" s="1">
        <v>35849526</v>
      </c>
      <c r="D18" s="1">
        <v>-11657476</v>
      </c>
      <c r="E18" s="1">
        <f t="shared" ref="E18:E19" si="0">+C18+D18</f>
        <v>24192050</v>
      </c>
      <c r="F18" s="1">
        <v>35280520</v>
      </c>
      <c r="G18" s="1">
        <f t="shared" ref="G18:G19" si="1">+F18-E18</f>
        <v>11088470</v>
      </c>
    </row>
    <row r="19" spans="2:7">
      <c r="B19" s="8" t="s">
        <v>144</v>
      </c>
      <c r="C19" s="8">
        <v>48707104</v>
      </c>
      <c r="D19" s="8">
        <v>-15838478</v>
      </c>
      <c r="E19" s="8">
        <f t="shared" si="0"/>
        <v>32868626</v>
      </c>
      <c r="F19" s="8">
        <v>45250300</v>
      </c>
      <c r="G19" s="8">
        <f t="shared" si="1"/>
        <v>12381674</v>
      </c>
    </row>
    <row r="20" spans="2:7">
      <c r="C20" s="1">
        <f>SUM(C17:C19)</f>
        <v>173244595</v>
      </c>
      <c r="D20" s="1">
        <f>SUM(D17:D19)</f>
        <v>-56606845</v>
      </c>
      <c r="E20" s="2">
        <f>SUM(E17:E19)</f>
        <v>116637750</v>
      </c>
      <c r="F20" s="16">
        <f>SUM(F17:F19)</f>
        <v>145981510</v>
      </c>
      <c r="G20" s="2">
        <f>SUM(G17:G19)</f>
        <v>29343760</v>
      </c>
    </row>
    <row r="21" spans="2:7">
      <c r="B21" s="1" t="s">
        <v>131</v>
      </c>
      <c r="C21" s="1">
        <v>173244595</v>
      </c>
      <c r="D21" s="1">
        <v>-56606845</v>
      </c>
    </row>
    <row r="22" spans="2:7">
      <c r="B22" s="1" t="s">
        <v>114</v>
      </c>
      <c r="C22" s="1">
        <f>+C21-C20</f>
        <v>0</v>
      </c>
      <c r="D22" s="1">
        <f>+D21-D20</f>
        <v>0</v>
      </c>
    </row>
    <row r="24" spans="2:7">
      <c r="B24" s="2" t="s">
        <v>86</v>
      </c>
    </row>
    <row r="27" spans="2:7">
      <c r="B27" s="67" t="s">
        <v>135</v>
      </c>
      <c r="C27" s="67"/>
      <c r="D27" s="67"/>
      <c r="E27" s="8" t="s">
        <v>88</v>
      </c>
      <c r="F27" s="8" t="s">
        <v>89</v>
      </c>
    </row>
    <row r="28" spans="2:7">
      <c r="C28" s="1" t="s">
        <v>148</v>
      </c>
      <c r="E28" s="1">
        <f>-D17</f>
        <v>29110891</v>
      </c>
    </row>
    <row r="29" spans="2:7">
      <c r="C29" s="1" t="s">
        <v>149</v>
      </c>
      <c r="E29" s="1">
        <f t="shared" ref="E29:E30" si="2">-D18</f>
        <v>11657476</v>
      </c>
    </row>
    <row r="30" spans="2:7">
      <c r="C30" s="1" t="s">
        <v>150</v>
      </c>
      <c r="E30" s="1">
        <f t="shared" si="2"/>
        <v>15838478</v>
      </c>
    </row>
    <row r="31" spans="2:7">
      <c r="D31" s="1" t="s">
        <v>142</v>
      </c>
      <c r="F31" s="1">
        <f>+E28</f>
        <v>29110891</v>
      </c>
    </row>
    <row r="32" spans="2:7">
      <c r="D32" s="1" t="s">
        <v>143</v>
      </c>
      <c r="F32" s="1">
        <f t="shared" ref="F32:F33" si="3">+E29</f>
        <v>11657476</v>
      </c>
    </row>
    <row r="33" spans="3:6">
      <c r="D33" s="1" t="s">
        <v>144</v>
      </c>
      <c r="F33" s="1">
        <f t="shared" si="3"/>
        <v>15838478</v>
      </c>
    </row>
    <row r="34" spans="3:6">
      <c r="C34" s="1" t="s">
        <v>152</v>
      </c>
    </row>
    <row r="35" spans="3:6">
      <c r="C35" s="1" t="s">
        <v>154</v>
      </c>
    </row>
    <row r="36" spans="3:6">
      <c r="C36" s="1" t="s">
        <v>142</v>
      </c>
      <c r="E36" s="1">
        <f>+G17</f>
        <v>5873616</v>
      </c>
    </row>
    <row r="37" spans="3:6">
      <c r="C37" s="1" t="s">
        <v>143</v>
      </c>
      <c r="E37" s="1">
        <f t="shared" ref="E37:E38" si="4">+G18</f>
        <v>11088470</v>
      </c>
    </row>
    <row r="38" spans="3:6">
      <c r="C38" s="1" t="s">
        <v>144</v>
      </c>
      <c r="E38" s="1">
        <f t="shared" si="4"/>
        <v>12381674</v>
      </c>
    </row>
    <row r="39" spans="3:6">
      <c r="D39" s="1" t="s">
        <v>153</v>
      </c>
      <c r="F39" s="1">
        <f>+G20</f>
        <v>29343760</v>
      </c>
    </row>
  </sheetData>
  <mergeCells count="1">
    <mergeCell ref="B27:D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7"/>
  <sheetViews>
    <sheetView showGridLines="0" zoomScale="140" zoomScaleNormal="140" workbookViewId="0">
      <selection sqref="A1:XFD1048576"/>
    </sheetView>
  </sheetViews>
  <sheetFormatPr baseColWidth="10" defaultColWidth="11.42578125" defaultRowHeight="15"/>
  <cols>
    <col min="1" max="2" width="11.42578125" style="1"/>
    <col min="3" max="3" width="15.28515625" style="1" customWidth="1"/>
    <col min="4" max="4" width="26.28515625" style="1" customWidth="1"/>
    <col min="5" max="6" width="13.28515625" style="1" bestFit="1" customWidth="1"/>
    <col min="7" max="16384" width="11.42578125" style="1"/>
  </cols>
  <sheetData>
    <row r="3" spans="2:5">
      <c r="B3" s="2" t="s">
        <v>118</v>
      </c>
    </row>
    <row r="5" spans="2:5">
      <c r="B5" s="2" t="s">
        <v>81</v>
      </c>
    </row>
    <row r="7" spans="2:5">
      <c r="B7" s="1" t="s">
        <v>156</v>
      </c>
    </row>
    <row r="9" spans="2:5">
      <c r="B9" s="2" t="s">
        <v>83</v>
      </c>
    </row>
    <row r="11" spans="2:5">
      <c r="B11" s="1" t="s">
        <v>284</v>
      </c>
    </row>
    <row r="12" spans="2:5">
      <c r="B12" s="1" t="s">
        <v>283</v>
      </c>
    </row>
    <row r="14" spans="2:5">
      <c r="B14" s="2" t="s">
        <v>85</v>
      </c>
      <c r="D14" s="14">
        <v>22296.19</v>
      </c>
      <c r="E14" s="1" t="s">
        <v>134</v>
      </c>
    </row>
    <row r="16" spans="2:5">
      <c r="B16" s="8" t="s">
        <v>125</v>
      </c>
      <c r="C16" s="8" t="s">
        <v>130</v>
      </c>
      <c r="D16" s="13" t="s">
        <v>132</v>
      </c>
      <c r="E16" s="8" t="s">
        <v>133</v>
      </c>
    </row>
    <row r="17" spans="2:6">
      <c r="B17" s="8" t="s">
        <v>157</v>
      </c>
      <c r="C17" s="8">
        <v>18558757</v>
      </c>
      <c r="D17" s="8">
        <f>ROUND(11250*D14,0)</f>
        <v>250832138</v>
      </c>
      <c r="E17" s="8">
        <f t="shared" ref="E17" si="0">+D17-C17</f>
        <v>232273381</v>
      </c>
    </row>
    <row r="18" spans="2:6">
      <c r="C18" s="1">
        <f>SUM(C17:C17)</f>
        <v>18558757</v>
      </c>
      <c r="D18" s="1">
        <f>SUM(D17:D17)</f>
        <v>250832138</v>
      </c>
      <c r="E18" s="2">
        <f>SUM(E17:E17)</f>
        <v>232273381</v>
      </c>
    </row>
    <row r="19" spans="2:6">
      <c r="B19" s="1" t="s">
        <v>131</v>
      </c>
      <c r="C19" s="1">
        <v>27838135</v>
      </c>
    </row>
    <row r="22" spans="2:6">
      <c r="B22" s="2" t="s">
        <v>86</v>
      </c>
    </row>
    <row r="25" spans="2:6">
      <c r="B25" s="67" t="s">
        <v>135</v>
      </c>
      <c r="C25" s="67"/>
      <c r="D25" s="67"/>
      <c r="E25" s="8" t="s">
        <v>88</v>
      </c>
      <c r="F25" s="8" t="s">
        <v>89</v>
      </c>
    </row>
    <row r="26" spans="2:6">
      <c r="C26" s="1" t="s">
        <v>158</v>
      </c>
      <c r="E26" s="1">
        <f>+E17</f>
        <v>232273381</v>
      </c>
    </row>
    <row r="27" spans="2:6">
      <c r="D27" s="1" t="s">
        <v>139</v>
      </c>
      <c r="F27" s="1">
        <f>+E18</f>
        <v>232273381</v>
      </c>
    </row>
  </sheetData>
  <mergeCells count="1">
    <mergeCell ref="B25:D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"/>
  <sheetViews>
    <sheetView showGridLines="0" zoomScale="150" zoomScaleNormal="150" workbookViewId="0"/>
  </sheetViews>
  <sheetFormatPr baseColWidth="10" defaultColWidth="11.42578125" defaultRowHeight="15"/>
  <cols>
    <col min="1" max="3" width="11.42578125" style="1"/>
    <col min="4" max="4" width="26.28515625" style="1" customWidth="1"/>
    <col min="5" max="6" width="13.28515625" style="1" bestFit="1" customWidth="1"/>
    <col min="7" max="16384" width="11.42578125" style="1"/>
  </cols>
  <sheetData>
    <row r="3" spans="2:5">
      <c r="B3" s="2" t="s">
        <v>119</v>
      </c>
    </row>
    <row r="5" spans="2:5">
      <c r="B5" s="2" t="s">
        <v>81</v>
      </c>
    </row>
    <row r="7" spans="2:5">
      <c r="B7" s="1" t="s">
        <v>160</v>
      </c>
    </row>
    <row r="9" spans="2:5">
      <c r="B9" s="2" t="s">
        <v>83</v>
      </c>
    </row>
    <row r="14" spans="2:5">
      <c r="B14" s="2" t="s">
        <v>85</v>
      </c>
    </row>
    <row r="16" spans="2:5">
      <c r="B16" s="1" t="s">
        <v>163</v>
      </c>
      <c r="E16" s="1">
        <f>+'Hoja de Trabajo'!C49</f>
        <v>-30412730</v>
      </c>
    </row>
    <row r="17" spans="2:6">
      <c r="B17" s="1" t="s">
        <v>100</v>
      </c>
    </row>
    <row r="18" spans="2:6">
      <c r="B18" s="1" t="s">
        <v>161</v>
      </c>
      <c r="E18" s="1">
        <f>+E16+5215350</f>
        <v>-25197380</v>
      </c>
    </row>
    <row r="19" spans="2:6">
      <c r="B19" s="1" t="s">
        <v>162</v>
      </c>
      <c r="E19" s="1">
        <f>+E16-E18</f>
        <v>-5215350</v>
      </c>
    </row>
    <row r="25" spans="2:6">
      <c r="B25" s="23" t="s">
        <v>86</v>
      </c>
      <c r="C25" s="8"/>
      <c r="D25" s="8"/>
      <c r="E25" s="23" t="s">
        <v>88</v>
      </c>
      <c r="F25" s="23" t="s">
        <v>89</v>
      </c>
    </row>
    <row r="26" spans="2:6">
      <c r="B26" s="1" t="s">
        <v>187</v>
      </c>
      <c r="E26" s="1">
        <f>-E19</f>
        <v>5215350</v>
      </c>
    </row>
    <row r="27" spans="2:6">
      <c r="C27" s="1" t="s">
        <v>79</v>
      </c>
      <c r="F27" s="1">
        <f>+E26</f>
        <v>5215350</v>
      </c>
    </row>
    <row r="28" spans="2:6">
      <c r="B28" s="66"/>
      <c r="C28" s="66"/>
    </row>
  </sheetData>
  <mergeCells count="1">
    <mergeCell ref="B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 de Trabajo</vt:lpstr>
      <vt:lpstr>Ajuste 01</vt:lpstr>
      <vt:lpstr>Ajuste 02</vt:lpstr>
      <vt:lpstr>Ajuste 03</vt:lpstr>
      <vt:lpstr>Ajuste 04</vt:lpstr>
      <vt:lpstr>Ajuste 05</vt:lpstr>
      <vt:lpstr>Ajuste 06</vt:lpstr>
      <vt:lpstr>Ajuste 07</vt:lpstr>
      <vt:lpstr>Ajuste 08</vt:lpstr>
      <vt:lpstr>Ajuste 09</vt:lpstr>
      <vt:lpstr>Ajuste 10</vt:lpstr>
      <vt:lpstr>Ajuste 11</vt:lpstr>
      <vt:lpstr>Ajuste 12</vt:lpstr>
      <vt:lpstr>Conciliación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ObservatorioIFRS</dc:creator>
  <cp:lastModifiedBy>luis jara</cp:lastModifiedBy>
  <dcterms:created xsi:type="dcterms:W3CDTF">2014-01-17T19:10:11Z</dcterms:created>
  <dcterms:modified xsi:type="dcterms:W3CDTF">2022-07-09T18:18:00Z</dcterms:modified>
</cp:coreProperties>
</file>