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bro Diario" sheetId="1" r:id="rId1"/>
    <sheet name="Balance Clasificado" sheetId="2" r:id="rId2"/>
    <sheet name="Estado Resultado por Funció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D24" i="3"/>
  <c r="F17" i="3"/>
  <c r="G16" i="3" s="1"/>
  <c r="D17" i="3"/>
  <c r="F23" i="3"/>
  <c r="F22" i="3"/>
  <c r="F21" i="3"/>
  <c r="D23" i="3"/>
  <c r="D22" i="3"/>
  <c r="D21" i="3"/>
  <c r="F20" i="3"/>
  <c r="D20" i="3"/>
  <c r="F19" i="3"/>
  <c r="D19" i="3"/>
  <c r="F14" i="3"/>
  <c r="G13" i="3" s="1"/>
  <c r="D14" i="3"/>
  <c r="F12" i="3"/>
  <c r="G11" i="3" s="1"/>
  <c r="D12" i="3"/>
  <c r="F58" i="2"/>
  <c r="F57" i="2"/>
  <c r="F56" i="2"/>
  <c r="G55" i="2" s="1"/>
  <c r="D58" i="2"/>
  <c r="D57" i="2"/>
  <c r="D56" i="2"/>
  <c r="F49" i="2"/>
  <c r="G48" i="2" s="1"/>
  <c r="D49" i="2"/>
  <c r="F40" i="2"/>
  <c r="G39" i="2" s="1"/>
  <c r="D40" i="2"/>
  <c r="F47" i="2"/>
  <c r="F46" i="2"/>
  <c r="F45" i="2"/>
  <c r="F44" i="2"/>
  <c r="F43" i="2"/>
  <c r="F42" i="2"/>
  <c r="D47" i="2"/>
  <c r="D46" i="2"/>
  <c r="D45" i="2"/>
  <c r="D44" i="2"/>
  <c r="D43" i="2"/>
  <c r="D42" i="2"/>
  <c r="F24" i="2"/>
  <c r="G23" i="2" s="1"/>
  <c r="D24" i="2"/>
  <c r="F28" i="2"/>
  <c r="F27" i="2"/>
  <c r="F26" i="2"/>
  <c r="D28" i="2"/>
  <c r="D27" i="2"/>
  <c r="D26" i="2"/>
  <c r="F33" i="2"/>
  <c r="F32" i="2"/>
  <c r="D33" i="2"/>
  <c r="D32" i="2"/>
  <c r="F31" i="2"/>
  <c r="F30" i="2"/>
  <c r="D31" i="2"/>
  <c r="D30" i="2"/>
  <c r="F14" i="2"/>
  <c r="G13" i="2" s="1"/>
  <c r="D14" i="2"/>
  <c r="F20" i="2"/>
  <c r="G19" i="2" s="1"/>
  <c r="D20" i="2"/>
  <c r="F18" i="2"/>
  <c r="F17" i="2"/>
  <c r="F16" i="2"/>
  <c r="D18" i="2"/>
  <c r="D17" i="2"/>
  <c r="D16" i="2"/>
  <c r="F12" i="2"/>
  <c r="G11" i="2" s="1"/>
  <c r="D12" i="2"/>
  <c r="O53" i="1"/>
  <c r="N53" i="1"/>
  <c r="P53" i="1" s="1"/>
  <c r="O52" i="1"/>
  <c r="N52" i="1"/>
  <c r="P52" i="1" s="1"/>
  <c r="O51" i="1"/>
  <c r="N51" i="1"/>
  <c r="P51" i="1" s="1"/>
  <c r="O50" i="1"/>
  <c r="N50" i="1"/>
  <c r="P50" i="1" s="1"/>
  <c r="O49" i="1"/>
  <c r="N49" i="1"/>
  <c r="P49" i="1" s="1"/>
  <c r="Q22" i="1"/>
  <c r="Q21" i="1"/>
  <c r="Q20" i="1"/>
  <c r="Q19" i="1"/>
  <c r="O22" i="1"/>
  <c r="N22" i="1"/>
  <c r="O21" i="1"/>
  <c r="N21" i="1"/>
  <c r="O20" i="1"/>
  <c r="N20" i="1"/>
  <c r="O19" i="1"/>
  <c r="N19" i="1"/>
  <c r="O18" i="1"/>
  <c r="N18" i="1"/>
  <c r="P18" i="1" s="1"/>
  <c r="I165" i="1"/>
  <c r="H164" i="1"/>
  <c r="G167" i="1"/>
  <c r="F167" i="1"/>
  <c r="G166" i="1"/>
  <c r="M167" i="1"/>
  <c r="M164" i="1"/>
  <c r="L168" i="1"/>
  <c r="L169" i="1" s="1"/>
  <c r="L170" i="1" s="1"/>
  <c r="L171" i="1" s="1"/>
  <c r="L172" i="1" s="1"/>
  <c r="L173" i="1" s="1"/>
  <c r="L174" i="1" s="1"/>
  <c r="L175" i="1" s="1"/>
  <c r="L176" i="1" s="1"/>
  <c r="L167" i="1"/>
  <c r="L166" i="1"/>
  <c r="L165" i="1"/>
  <c r="B164" i="1"/>
  <c r="G163" i="1"/>
  <c r="F163" i="1"/>
  <c r="G162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5" i="1"/>
  <c r="F165" i="1"/>
  <c r="I159" i="1"/>
  <c r="H158" i="1"/>
  <c r="B158" i="1"/>
  <c r="I153" i="1"/>
  <c r="H152" i="1"/>
  <c r="G157" i="1"/>
  <c r="F157" i="1"/>
  <c r="G156" i="1"/>
  <c r="F154" i="1"/>
  <c r="G154" i="1"/>
  <c r="G155" i="1"/>
  <c r="B152" i="1"/>
  <c r="G151" i="1"/>
  <c r="F151" i="1"/>
  <c r="G150" i="1"/>
  <c r="I147" i="1"/>
  <c r="H146" i="1"/>
  <c r="G149" i="1"/>
  <c r="G148" i="1"/>
  <c r="B146" i="1"/>
  <c r="G145" i="1"/>
  <c r="F145" i="1"/>
  <c r="G144" i="1"/>
  <c r="I142" i="1"/>
  <c r="H141" i="1"/>
  <c r="B141" i="1"/>
  <c r="I138" i="1"/>
  <c r="G140" i="1"/>
  <c r="F140" i="1"/>
  <c r="G139" i="1"/>
  <c r="N32" i="1"/>
  <c r="O32" i="1"/>
  <c r="B137" i="1"/>
  <c r="G136" i="1"/>
  <c r="F136" i="1"/>
  <c r="G135" i="1"/>
  <c r="I134" i="1"/>
  <c r="B133" i="1"/>
  <c r="N31" i="1"/>
  <c r="O31" i="1"/>
  <c r="I55" i="1"/>
  <c r="I117" i="1"/>
  <c r="I118" i="1" s="1"/>
  <c r="H116" i="1" s="1"/>
  <c r="G132" i="1"/>
  <c r="F132" i="1"/>
  <c r="G131" i="1"/>
  <c r="I130" i="1"/>
  <c r="B129" i="1"/>
  <c r="G164" i="1"/>
  <c r="F164" i="1"/>
  <c r="G159" i="1"/>
  <c r="F159" i="1"/>
  <c r="G158" i="1"/>
  <c r="F158" i="1"/>
  <c r="G153" i="1"/>
  <c r="F153" i="1"/>
  <c r="G152" i="1"/>
  <c r="F152" i="1"/>
  <c r="G147" i="1"/>
  <c r="F147" i="1"/>
  <c r="G146" i="1"/>
  <c r="F146" i="1"/>
  <c r="G143" i="1"/>
  <c r="G142" i="1"/>
  <c r="F142" i="1"/>
  <c r="G141" i="1"/>
  <c r="F141" i="1"/>
  <c r="G138" i="1"/>
  <c r="F138" i="1"/>
  <c r="I126" i="1"/>
  <c r="G128" i="1"/>
  <c r="F128" i="1"/>
  <c r="G127" i="1"/>
  <c r="O48" i="1"/>
  <c r="N48" i="1"/>
  <c r="O47" i="1"/>
  <c r="N47" i="1"/>
  <c r="O46" i="1"/>
  <c r="N46" i="1"/>
  <c r="O42" i="1"/>
  <c r="N42" i="1"/>
  <c r="O39" i="1"/>
  <c r="N39" i="1"/>
  <c r="O38" i="1"/>
  <c r="N38" i="1"/>
  <c r="O37" i="1"/>
  <c r="N37" i="1"/>
  <c r="O30" i="1"/>
  <c r="N30" i="1"/>
  <c r="O29" i="1"/>
  <c r="N29" i="1"/>
  <c r="O28" i="1"/>
  <c r="N28" i="1"/>
  <c r="O27" i="1"/>
  <c r="N27" i="1"/>
  <c r="N26" i="1"/>
  <c r="O25" i="1"/>
  <c r="N25" i="1"/>
  <c r="O17" i="1"/>
  <c r="O16" i="1"/>
  <c r="O15" i="1"/>
  <c r="O14" i="1"/>
  <c r="O13" i="1"/>
  <c r="O12" i="1"/>
  <c r="O11" i="1"/>
  <c r="O10" i="1"/>
  <c r="O9" i="1"/>
  <c r="N17" i="1"/>
  <c r="N16" i="1"/>
  <c r="N14" i="1"/>
  <c r="N13" i="1"/>
  <c r="N12" i="1"/>
  <c r="N11" i="1"/>
  <c r="N10" i="1"/>
  <c r="N9" i="1"/>
  <c r="B125" i="1"/>
  <c r="I122" i="1"/>
  <c r="H121" i="1"/>
  <c r="G124" i="1"/>
  <c r="F124" i="1"/>
  <c r="G123" i="1"/>
  <c r="B121" i="1"/>
  <c r="G120" i="1"/>
  <c r="F120" i="1"/>
  <c r="G119" i="1"/>
  <c r="B116" i="1"/>
  <c r="I113" i="1"/>
  <c r="H112" i="1"/>
  <c r="G115" i="1"/>
  <c r="F115" i="1"/>
  <c r="G114" i="1"/>
  <c r="B112" i="1"/>
  <c r="I109" i="1"/>
  <c r="H108" i="1"/>
  <c r="G111" i="1"/>
  <c r="F111" i="1"/>
  <c r="G110" i="1"/>
  <c r="B108" i="1"/>
  <c r="I105" i="1"/>
  <c r="H104" i="1"/>
  <c r="H103" i="1"/>
  <c r="G107" i="1"/>
  <c r="F107" i="1"/>
  <c r="G106" i="1"/>
  <c r="G137" i="1"/>
  <c r="F137" i="1"/>
  <c r="G134" i="1"/>
  <c r="F134" i="1"/>
  <c r="G133" i="1"/>
  <c r="F133" i="1"/>
  <c r="G130" i="1"/>
  <c r="F130" i="1"/>
  <c r="G129" i="1"/>
  <c r="F129" i="1"/>
  <c r="G126" i="1"/>
  <c r="F126" i="1"/>
  <c r="G125" i="1"/>
  <c r="F125" i="1"/>
  <c r="G122" i="1"/>
  <c r="F122" i="1"/>
  <c r="G121" i="1"/>
  <c r="F121" i="1"/>
  <c r="G118" i="1"/>
  <c r="F118" i="1"/>
  <c r="G117" i="1"/>
  <c r="F117" i="1"/>
  <c r="G116" i="1"/>
  <c r="F116" i="1"/>
  <c r="G113" i="1"/>
  <c r="F113" i="1"/>
  <c r="G112" i="1"/>
  <c r="F112" i="1"/>
  <c r="G109" i="1"/>
  <c r="F109" i="1"/>
  <c r="G108" i="1"/>
  <c r="F108" i="1"/>
  <c r="B103" i="1"/>
  <c r="I100" i="1"/>
  <c r="H99" i="1"/>
  <c r="G102" i="1"/>
  <c r="F102" i="1"/>
  <c r="G101" i="1"/>
  <c r="B99" i="1"/>
  <c r="I96" i="1"/>
  <c r="H95" i="1"/>
  <c r="G98" i="1"/>
  <c r="F98" i="1"/>
  <c r="G97" i="1"/>
  <c r="B94" i="1"/>
  <c r="I91" i="1"/>
  <c r="G93" i="1"/>
  <c r="F93" i="1"/>
  <c r="G92" i="1"/>
  <c r="I87" i="1"/>
  <c r="B90" i="1"/>
  <c r="G89" i="1"/>
  <c r="F89" i="1"/>
  <c r="G88" i="1"/>
  <c r="B86" i="1"/>
  <c r="I83" i="1"/>
  <c r="H82" i="1"/>
  <c r="G85" i="1"/>
  <c r="F85" i="1"/>
  <c r="G84" i="1"/>
  <c r="B82" i="1"/>
  <c r="I79" i="1"/>
  <c r="H78" i="1"/>
  <c r="G81" i="1"/>
  <c r="F81" i="1"/>
  <c r="G80" i="1"/>
  <c r="B77" i="1"/>
  <c r="I74" i="1"/>
  <c r="I73" i="1"/>
  <c r="H72" i="1"/>
  <c r="G76" i="1"/>
  <c r="F76" i="1"/>
  <c r="G75" i="1"/>
  <c r="B72" i="1"/>
  <c r="I69" i="1"/>
  <c r="H68" i="1"/>
  <c r="G71" i="1"/>
  <c r="F71" i="1"/>
  <c r="G70" i="1"/>
  <c r="B67" i="1"/>
  <c r="G105" i="1"/>
  <c r="F105" i="1"/>
  <c r="G104" i="1"/>
  <c r="F104" i="1"/>
  <c r="G103" i="1"/>
  <c r="F103" i="1"/>
  <c r="G100" i="1"/>
  <c r="F100" i="1"/>
  <c r="G99" i="1"/>
  <c r="F99" i="1"/>
  <c r="G96" i="1"/>
  <c r="F96" i="1"/>
  <c r="G95" i="1"/>
  <c r="F95" i="1"/>
  <c r="G94" i="1"/>
  <c r="F94" i="1"/>
  <c r="G91" i="1"/>
  <c r="F91" i="1"/>
  <c r="G90" i="1"/>
  <c r="F90" i="1"/>
  <c r="G87" i="1"/>
  <c r="F87" i="1"/>
  <c r="G86" i="1"/>
  <c r="F86" i="1"/>
  <c r="G83" i="1"/>
  <c r="F83" i="1"/>
  <c r="G82" i="1"/>
  <c r="F82" i="1"/>
  <c r="G79" i="1"/>
  <c r="F79" i="1"/>
  <c r="G78" i="1"/>
  <c r="F78" i="1"/>
  <c r="G77" i="1"/>
  <c r="F77" i="1"/>
  <c r="G74" i="1"/>
  <c r="F74" i="1"/>
  <c r="G73" i="1"/>
  <c r="F73" i="1"/>
  <c r="G72" i="1"/>
  <c r="F72" i="1"/>
  <c r="I64" i="1"/>
  <c r="G66" i="1"/>
  <c r="F66" i="1"/>
  <c r="G65" i="1"/>
  <c r="B63" i="1"/>
  <c r="I60" i="1"/>
  <c r="H59" i="1"/>
  <c r="I56" i="1"/>
  <c r="H54" i="1" s="1"/>
  <c r="G62" i="1"/>
  <c r="F62" i="1"/>
  <c r="G61" i="1"/>
  <c r="B59" i="1"/>
  <c r="G58" i="1"/>
  <c r="F58" i="1"/>
  <c r="G57" i="1"/>
  <c r="B54" i="1"/>
  <c r="I51" i="1"/>
  <c r="H50" i="1"/>
  <c r="G53" i="1"/>
  <c r="F53" i="1"/>
  <c r="G52" i="1"/>
  <c r="B49" i="1"/>
  <c r="I46" i="1"/>
  <c r="H45" i="1"/>
  <c r="G48" i="1"/>
  <c r="F48" i="1"/>
  <c r="G47" i="1"/>
  <c r="B44" i="1"/>
  <c r="I41" i="1"/>
  <c r="G43" i="1"/>
  <c r="F43" i="1"/>
  <c r="G42" i="1"/>
  <c r="B40" i="1"/>
  <c r="G39" i="1"/>
  <c r="F39" i="1"/>
  <c r="G38" i="1"/>
  <c r="I37" i="1"/>
  <c r="H36" i="1"/>
  <c r="B36" i="1"/>
  <c r="I33" i="1"/>
  <c r="H32" i="1"/>
  <c r="H31" i="1"/>
  <c r="G35" i="1"/>
  <c r="F35" i="1"/>
  <c r="G34" i="1"/>
  <c r="B31" i="1"/>
  <c r="I28" i="1"/>
  <c r="H27" i="1"/>
  <c r="G30" i="1"/>
  <c r="F30" i="1"/>
  <c r="G29" i="1"/>
  <c r="B27" i="1"/>
  <c r="G69" i="1"/>
  <c r="F69" i="1"/>
  <c r="G68" i="1"/>
  <c r="F68" i="1"/>
  <c r="G67" i="1"/>
  <c r="F67" i="1"/>
  <c r="G64" i="1"/>
  <c r="F64" i="1"/>
  <c r="G63" i="1"/>
  <c r="F63" i="1"/>
  <c r="G60" i="1"/>
  <c r="F60" i="1"/>
  <c r="G59" i="1"/>
  <c r="F59" i="1"/>
  <c r="G56" i="1"/>
  <c r="F56" i="1"/>
  <c r="G55" i="1"/>
  <c r="F55" i="1"/>
  <c r="G54" i="1"/>
  <c r="F54" i="1"/>
  <c r="G51" i="1"/>
  <c r="F51" i="1"/>
  <c r="G50" i="1"/>
  <c r="F50" i="1"/>
  <c r="G49" i="1"/>
  <c r="F49" i="1"/>
  <c r="G46" i="1"/>
  <c r="F46" i="1"/>
  <c r="G45" i="1"/>
  <c r="F45" i="1"/>
  <c r="G44" i="1"/>
  <c r="F44" i="1"/>
  <c r="G41" i="1"/>
  <c r="F41" i="1"/>
  <c r="G40" i="1"/>
  <c r="F40" i="1"/>
  <c r="G37" i="1"/>
  <c r="F37" i="1"/>
  <c r="G36" i="1"/>
  <c r="F36" i="1"/>
  <c r="I24" i="1"/>
  <c r="H23" i="1"/>
  <c r="I19" i="1"/>
  <c r="G26" i="1"/>
  <c r="F26" i="1"/>
  <c r="G25" i="1"/>
  <c r="B22" i="1"/>
  <c r="G21" i="1"/>
  <c r="F21" i="1"/>
  <c r="G20" i="1"/>
  <c r="G16" i="1"/>
  <c r="F16" i="1"/>
  <c r="G15" i="1"/>
  <c r="B13" i="1"/>
  <c r="B17" i="1" s="1"/>
  <c r="I10" i="1"/>
  <c r="G33" i="1"/>
  <c r="G32" i="1"/>
  <c r="G31" i="1"/>
  <c r="G28" i="1"/>
  <c r="G27" i="1"/>
  <c r="G24" i="1"/>
  <c r="G23" i="1"/>
  <c r="G22" i="1"/>
  <c r="G19" i="1"/>
  <c r="G18" i="1"/>
  <c r="G17" i="1"/>
  <c r="G14" i="1"/>
  <c r="G13" i="1"/>
  <c r="G12" i="1"/>
  <c r="G11" i="1"/>
  <c r="G10" i="1"/>
  <c r="G9" i="1"/>
  <c r="G8" i="1"/>
  <c r="F33" i="1"/>
  <c r="F32" i="1"/>
  <c r="F31" i="1"/>
  <c r="F28" i="1"/>
  <c r="F27" i="1"/>
  <c r="F24" i="1"/>
  <c r="F23" i="1"/>
  <c r="F22" i="1"/>
  <c r="F19" i="1"/>
  <c r="F18" i="1"/>
  <c r="F17" i="1"/>
  <c r="F14" i="1"/>
  <c r="F13" i="1"/>
  <c r="F12" i="1"/>
  <c r="F10" i="1"/>
  <c r="F9" i="1"/>
  <c r="F8" i="1"/>
  <c r="K4" i="1"/>
  <c r="G18" i="3" l="1"/>
  <c r="G15" i="3"/>
  <c r="G41" i="2"/>
  <c r="G50" i="2" s="1"/>
  <c r="G53" i="2" s="1"/>
  <c r="G25" i="2"/>
  <c r="G29" i="2"/>
  <c r="G15" i="2"/>
  <c r="G21" i="2" s="1"/>
  <c r="Q32" i="1"/>
  <c r="Q31" i="1"/>
  <c r="N15" i="1"/>
  <c r="P15" i="1" s="1"/>
  <c r="K160" i="1" s="1"/>
  <c r="O26" i="1"/>
  <c r="Q26" i="1" s="1"/>
  <c r="P9" i="1"/>
  <c r="Q25" i="1"/>
  <c r="Q28" i="1"/>
  <c r="P46" i="1"/>
  <c r="Q30" i="1"/>
  <c r="P38" i="1"/>
  <c r="Q37" i="1"/>
  <c r="P13" i="1"/>
  <c r="P14" i="1"/>
  <c r="Q27" i="1"/>
  <c r="P39" i="1"/>
  <c r="P16" i="1"/>
  <c r="P47" i="1"/>
  <c r="P10" i="1"/>
  <c r="P11" i="1"/>
  <c r="P17" i="1"/>
  <c r="Q29" i="1"/>
  <c r="P12" i="1"/>
  <c r="P48" i="1"/>
  <c r="Q42" i="1"/>
  <c r="H6" i="1"/>
  <c r="I6" i="1"/>
  <c r="G25" i="3" l="1"/>
  <c r="G27" i="3" s="1"/>
  <c r="F60" i="2" s="1"/>
  <c r="G59" i="2" s="1"/>
  <c r="G61" i="2" s="1"/>
  <c r="G62" i="2" s="1"/>
  <c r="G64" i="2" s="1"/>
  <c r="G34" i="2"/>
  <c r="G35" i="2" s="1"/>
  <c r="J6" i="1"/>
</calcChain>
</file>

<file path=xl/sharedStrings.xml><?xml version="1.0" encoding="utf-8"?>
<sst xmlns="http://schemas.openxmlformats.org/spreadsheetml/2006/main" count="146" uniqueCount="109">
  <si>
    <t>Fecha</t>
  </si>
  <si>
    <t>Correlativo</t>
  </si>
  <si>
    <t>Cuentas</t>
  </si>
  <si>
    <t>Debe</t>
  </si>
  <si>
    <t>Haber</t>
  </si>
  <si>
    <t>Código</t>
  </si>
  <si>
    <t>Plan de Cuenta</t>
  </si>
  <si>
    <t>Descripción</t>
  </si>
  <si>
    <t>Patrimonio</t>
  </si>
  <si>
    <t>Capital</t>
  </si>
  <si>
    <t>Cuenta Obligada Socia 1</t>
  </si>
  <si>
    <t>Cuenta Obligada Socia 2</t>
  </si>
  <si>
    <t>Código siguiente</t>
  </si>
  <si>
    <t>Banco</t>
  </si>
  <si>
    <t>G./</t>
  </si>
  <si>
    <t>Equipos computacionales</t>
  </si>
  <si>
    <t>Vehículos</t>
  </si>
  <si>
    <t>Arriendo Bodega Pagada Anticipadamente</t>
  </si>
  <si>
    <t>IVA CF</t>
  </si>
  <si>
    <t>Acreedores</t>
  </si>
  <si>
    <t>Mercaderías</t>
  </si>
  <si>
    <t>Clientes</t>
  </si>
  <si>
    <t>IVA DF</t>
  </si>
  <si>
    <t>Proveedores</t>
  </si>
  <si>
    <t>Anticipo de clientes</t>
  </si>
  <si>
    <t>Gasto por arriendo oficina</t>
  </si>
  <si>
    <t>Garantía arriendo oficina</t>
  </si>
  <si>
    <t>Ingresos por venta</t>
  </si>
  <si>
    <t>Costo de Ventas</t>
  </si>
  <si>
    <t>Documentos por pagar - 30 días</t>
  </si>
  <si>
    <t>Documentos por pagar - 60 días</t>
  </si>
  <si>
    <t>Página web</t>
  </si>
  <si>
    <t>Marca comercial</t>
  </si>
  <si>
    <t>Gasto por consumo telefonía</t>
  </si>
  <si>
    <t>Débito</t>
  </si>
  <si>
    <t>Crédito</t>
  </si>
  <si>
    <t>Deudor</t>
  </si>
  <si>
    <t>Acreedor</t>
  </si>
  <si>
    <t>Balance de Comprobación y Saldo</t>
  </si>
  <si>
    <t>Línea de crédito bancaria</t>
  </si>
  <si>
    <t>Provisión gasto consumo telefonía</t>
  </si>
  <si>
    <t>(600.000-0)/36x3</t>
  </si>
  <si>
    <t>Depreciación equipos computacionales</t>
  </si>
  <si>
    <t>Depreciación Ac. equipos computacionales</t>
  </si>
  <si>
    <t>Depreciación vehículos</t>
  </si>
  <si>
    <t>Depreciación Ac. vehículos</t>
  </si>
  <si>
    <t>Camioneta</t>
  </si>
  <si>
    <t>Motocicleta</t>
  </si>
  <si>
    <t>Amortización página web</t>
  </si>
  <si>
    <t>Amortización Ac. página web</t>
  </si>
  <si>
    <t>(2.250.000-0)/48x2</t>
  </si>
  <si>
    <t>Deterioro Ac. Clientes</t>
  </si>
  <si>
    <t>Deterioro Clientes</t>
  </si>
  <si>
    <t>Saldo Clientes al 31-03-2022</t>
  </si>
  <si>
    <t>Estimación deterioro (incobrables)</t>
  </si>
  <si>
    <t>Activo 31-03-2022</t>
  </si>
  <si>
    <t>Activo 31-01-2022</t>
  </si>
  <si>
    <t>Gasto Arriendo Bodega</t>
  </si>
  <si>
    <t>Arriendo consumido</t>
  </si>
  <si>
    <t>Efectivo y equivalentes al efectivo</t>
  </si>
  <si>
    <t>Otros activos no financieros corrientes</t>
  </si>
  <si>
    <t>Deudores comerciales y otras cuentas por cobrar corrientes</t>
  </si>
  <si>
    <t>Inventarios corrientes</t>
  </si>
  <si>
    <t>Activos corrientes totales</t>
  </si>
  <si>
    <t>Otros activos no financieros no corrientes</t>
  </si>
  <si>
    <t>Activos intangibles distintos de la plusvalía</t>
  </si>
  <si>
    <t>Propiedades, planta y equipo</t>
  </si>
  <si>
    <t>Total de activos no corrientes</t>
  </si>
  <si>
    <t>Total de activos</t>
  </si>
  <si>
    <t>Otros pasivos financieros corrientes</t>
  </si>
  <si>
    <t>Cuentas por pagar comerciales y otras cuentas por pagar</t>
  </si>
  <si>
    <t>Otras provisiones a corto plazo</t>
  </si>
  <si>
    <t>Pasivos corrientes totales</t>
  </si>
  <si>
    <t>Total de pasivos no corrientes</t>
  </si>
  <si>
    <t>Total de pasivos</t>
  </si>
  <si>
    <t>Capital emitido y pagado</t>
  </si>
  <si>
    <t>Ganancias (pérdidas) acumuladas</t>
  </si>
  <si>
    <t>Patrimonio total</t>
  </si>
  <si>
    <t>Total de patrimonio y pasivos</t>
  </si>
  <si>
    <t>Ingresos de actividades ordinarias</t>
  </si>
  <si>
    <t>Costo de ventas</t>
  </si>
  <si>
    <t>Ganancia bruta</t>
  </si>
  <si>
    <t>Costos de distribución</t>
  </si>
  <si>
    <t>Gastos de administración</t>
  </si>
  <si>
    <t>Ganancia (pérdida), antes de impuestos</t>
  </si>
  <si>
    <t>Gasto por impuestos a las ganancias</t>
  </si>
  <si>
    <t>Ganancia (pérdida)</t>
  </si>
  <si>
    <t>Activos</t>
  </si>
  <si>
    <t>Activos corrientes</t>
  </si>
  <si>
    <t>Nota</t>
  </si>
  <si>
    <t>Saldo al</t>
  </si>
  <si>
    <t xml:space="preserve">Activos no corrientes </t>
  </si>
  <si>
    <t>Patrimonio y pasivos</t>
  </si>
  <si>
    <t>Pasivos</t>
  </si>
  <si>
    <t>Pasivos corrientes</t>
  </si>
  <si>
    <t xml:space="preserve">Pasivos no corrientes </t>
  </si>
  <si>
    <t>Resultado Ejercicio</t>
  </si>
  <si>
    <t>Estado de resultados</t>
  </si>
  <si>
    <t xml:space="preserve">Ganancia (pérdida) </t>
  </si>
  <si>
    <t>Saldos entre</t>
  </si>
  <si>
    <t>Comprobación partida doble ( Activos = Pasivos + Patrimonio)</t>
  </si>
  <si>
    <t>Cuadrados</t>
  </si>
  <si>
    <t>Estado de Situación Financiera, Clasificado</t>
  </si>
  <si>
    <t>Estado de Resultados por función</t>
  </si>
  <si>
    <t>ACTIVOS</t>
  </si>
  <si>
    <t>PASIVOS</t>
  </si>
  <si>
    <t>PATRIMONIO</t>
  </si>
  <si>
    <t xml:space="preserve">INGRESOS  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</si>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</sst>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"/>
      <name val="Arial Unicode MS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4" fillId="0" borderId="0" xfId="0" applyFont="1"/>
    <xf numFmtId="0" fontId="0" fillId="0" borderId="12" xfId="0" applyBorder="1"/>
    <xf numFmtId="0" fontId="0" fillId="0" borderId="11" xfId="0" applyBorder="1"/>
    <xf numFmtId="0" fontId="3" fillId="2" borderId="0" xfId="0" applyFont="1" applyFill="1"/>
    <xf numFmtId="0" fontId="2" fillId="0" borderId="0" xfId="0" applyFont="1"/>
    <xf numFmtId="1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0" xfId="0" applyNumberFormat="1"/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0" fillId="0" borderId="10" xfId="0" applyNumberFormat="1" applyBorder="1"/>
    <xf numFmtId="3" fontId="0" fillId="0" borderId="2" xfId="0" applyNumberFormat="1" applyBorder="1"/>
    <xf numFmtId="3" fontId="0" fillId="0" borderId="9" xfId="0" applyNumberFormat="1" applyBorder="1"/>
    <xf numFmtId="3" fontId="0" fillId="0" borderId="1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5" xfId="0" applyBorder="1"/>
    <xf numFmtId="3" fontId="0" fillId="0" borderId="14" xfId="0" applyNumberFormat="1" applyBorder="1"/>
    <xf numFmtId="3" fontId="0" fillId="0" borderId="17" xfId="0" applyNumberFormat="1" applyBorder="1"/>
    <xf numFmtId="0" fontId="0" fillId="3" borderId="0" xfId="0" applyFill="1"/>
    <xf numFmtId="3" fontId="2" fillId="0" borderId="0" xfId="0" applyNumberFormat="1" applyFont="1" applyAlignment="1">
      <alignment horizontal="right"/>
    </xf>
    <xf numFmtId="3" fontId="2" fillId="0" borderId="15" xfId="0" applyNumberFormat="1" applyFont="1" applyBorder="1" applyAlignment="1">
      <alignment horizontal="center"/>
    </xf>
    <xf numFmtId="41" fontId="0" fillId="0" borderId="0" xfId="1" applyFont="1" applyBorder="1"/>
    <xf numFmtId="9" fontId="0" fillId="0" borderId="0" xfId="0" applyNumberFormat="1" applyBorder="1"/>
    <xf numFmtId="17" fontId="0" fillId="0" borderId="0" xfId="0" applyNumberFormat="1"/>
    <xf numFmtId="41" fontId="0" fillId="0" borderId="0" xfId="1" applyFont="1"/>
    <xf numFmtId="41" fontId="0" fillId="0" borderId="0" xfId="0" applyNumberFormat="1"/>
    <xf numFmtId="41" fontId="0" fillId="3" borderId="0" xfId="1" applyFont="1" applyFill="1"/>
    <xf numFmtId="0" fontId="5" fillId="4" borderId="18" xfId="0" applyFont="1" applyFill="1" applyBorder="1"/>
    <xf numFmtId="0" fontId="5" fillId="4" borderId="18" xfId="0" applyFont="1" applyFill="1" applyBorder="1" applyAlignment="1">
      <alignment indent="1"/>
    </xf>
    <xf numFmtId="0" fontId="5" fillId="4" borderId="18" xfId="0" applyFont="1" applyFill="1" applyBorder="1" applyAlignment="1">
      <alignment indent="2"/>
    </xf>
    <xf numFmtId="0" fontId="5" fillId="4" borderId="18" xfId="0" applyFont="1" applyFill="1" applyBorder="1" applyAlignment="1">
      <alignment indent="3"/>
    </xf>
    <xf numFmtId="0" fontId="5" fillId="4" borderId="18" xfId="0" applyFont="1" applyFill="1" applyBorder="1" applyAlignment="1">
      <alignment indent="4"/>
    </xf>
    <xf numFmtId="14" fontId="0" fillId="0" borderId="0" xfId="0" applyNumberFormat="1" applyAlignment="1">
      <alignment horizontal="center"/>
    </xf>
    <xf numFmtId="0" fontId="5" fillId="5" borderId="18" xfId="0" applyFont="1" applyFill="1" applyBorder="1" applyAlignment="1">
      <alignment horizontal="left" indent="4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5" fillId="5" borderId="18" xfId="0" applyFont="1" applyFill="1" applyBorder="1" applyAlignment="1">
      <alignment horizontal="left" indent="5"/>
    </xf>
    <xf numFmtId="0" fontId="5" fillId="5" borderId="18" xfId="0" applyFont="1" applyFill="1" applyBorder="1" applyAlignment="1">
      <alignment horizontal="left" indent="3"/>
    </xf>
    <xf numFmtId="0" fontId="5" fillId="3" borderId="18" xfId="0" applyFont="1" applyFill="1" applyBorder="1" applyAlignment="1">
      <alignment indent="2"/>
    </xf>
    <xf numFmtId="0" fontId="7" fillId="3" borderId="0" xfId="0" applyFont="1" applyFill="1"/>
    <xf numFmtId="3" fontId="0" fillId="3" borderId="0" xfId="0" applyNumberFormat="1" applyFill="1"/>
    <xf numFmtId="0" fontId="2" fillId="0" borderId="15" xfId="0" applyFont="1" applyBorder="1" applyAlignment="1">
      <alignment horizontal="center"/>
    </xf>
    <xf numFmtId="0" fontId="7" fillId="0" borderId="15" xfId="0" applyFont="1" applyBorder="1"/>
    <xf numFmtId="14" fontId="0" fillId="0" borderId="15" xfId="0" applyNumberFormat="1" applyBorder="1" applyAlignment="1">
      <alignment horizontal="center"/>
    </xf>
    <xf numFmtId="0" fontId="6" fillId="0" borderId="15" xfId="0" applyFont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103</xdr:row>
      <xdr:rowOff>161925</xdr:rowOff>
    </xdr:from>
    <xdr:to>
      <xdr:col>15</xdr:col>
      <xdr:colOff>172329</xdr:colOff>
      <xdr:row>145</xdr:row>
      <xdr:rowOff>86831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44100" y="19792950"/>
          <a:ext cx="6296904" cy="7925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Q184"/>
  <sheetViews>
    <sheetView showGridLines="0" tabSelected="1" topLeftCell="E1" workbookViewId="0">
      <pane ySplit="7" topLeftCell="A29" activePane="bottomLeft" state="frozen"/>
      <selection pane="bottomLeft" activeCell="M35" sqref="M35"/>
    </sheetView>
  </sheetViews>
  <sheetFormatPr baseColWidth="10" defaultColWidth="9.140625" defaultRowHeight="15"/>
  <cols>
    <col min="1" max="1" width="2.140625" customWidth="1"/>
    <col min="2" max="2" width="11.85546875" style="2" customWidth="1"/>
    <col min="3" max="3" width="10.85546875" style="2" bestFit="1" customWidth="1"/>
    <col min="4" max="5" width="5" style="2" customWidth="1"/>
    <col min="6" max="6" width="32.28515625" customWidth="1"/>
    <col min="7" max="7" width="40" customWidth="1"/>
    <col min="8" max="9" width="15.7109375" style="20" customWidth="1"/>
    <col min="11" max="11" width="12.28515625" customWidth="1"/>
    <col min="12" max="12" width="44.42578125" customWidth="1"/>
    <col min="13" max="13" width="11.140625" customWidth="1"/>
    <col min="14" max="17" width="15.7109375" style="20" customWidth="1"/>
  </cols>
  <sheetData>
    <row r="4" spans="2:17">
      <c r="K4" s="34">
        <f>MAX(K7:K66)+1</f>
        <v>35</v>
      </c>
      <c r="L4" s="34" t="s">
        <v>12</v>
      </c>
    </row>
    <row r="6" spans="2:17" ht="15.75" thickBot="1">
      <c r="H6" s="20">
        <f>SUM(H8:H184)</f>
        <v>128591944</v>
      </c>
      <c r="I6" s="20">
        <f>SUM(I8:I184)</f>
        <v>128591944</v>
      </c>
      <c r="J6" s="8" t="str">
        <f>IF(H6=I6,"","¡¡ OJO NO CUADRA !!")</f>
        <v/>
      </c>
      <c r="K6" s="64" t="s">
        <v>6</v>
      </c>
      <c r="L6" s="64"/>
      <c r="N6" s="36" t="s">
        <v>38</v>
      </c>
      <c r="O6" s="36"/>
      <c r="P6" s="36"/>
      <c r="Q6" s="36"/>
    </row>
    <row r="7" spans="2:17">
      <c r="B7" s="3" t="s">
        <v>0</v>
      </c>
      <c r="C7" s="4" t="s">
        <v>1</v>
      </c>
      <c r="D7" s="5" t="s">
        <v>5</v>
      </c>
      <c r="E7" s="5"/>
      <c r="F7" s="5" t="s">
        <v>2</v>
      </c>
      <c r="G7" s="5"/>
      <c r="H7" s="21" t="s">
        <v>3</v>
      </c>
      <c r="I7" s="22" t="s">
        <v>4</v>
      </c>
      <c r="K7" s="11" t="s">
        <v>5</v>
      </c>
      <c r="L7" s="11" t="s">
        <v>7</v>
      </c>
      <c r="N7" s="35" t="s">
        <v>34</v>
      </c>
      <c r="O7" s="35" t="s">
        <v>35</v>
      </c>
      <c r="P7" s="35" t="s">
        <v>36</v>
      </c>
      <c r="Q7" s="35" t="s">
        <v>37</v>
      </c>
    </row>
    <row r="8" spans="2:17">
      <c r="B8" s="13">
        <v>44566</v>
      </c>
      <c r="C8" s="16">
        <v>1</v>
      </c>
      <c r="D8" s="18">
        <v>2</v>
      </c>
      <c r="E8" s="18"/>
      <c r="F8" s="9" t="str">
        <f>IF(D8="","",VLOOKUP(D8,$K$8:$L$64,2,))</f>
        <v>Cuenta Obligada Socia 1</v>
      </c>
      <c r="G8" s="6" t="str">
        <f>IF(E8="","",VLOOKUP(E8,$K$8:$L$64,2,))</f>
        <v/>
      </c>
      <c r="H8" s="23">
        <v>15000000</v>
      </c>
      <c r="I8" s="24"/>
      <c r="L8" s="12" t="s">
        <v>104</v>
      </c>
    </row>
    <row r="9" spans="2:17">
      <c r="B9" s="14"/>
      <c r="C9" s="16"/>
      <c r="D9" s="18">
        <v>3</v>
      </c>
      <c r="E9" s="18"/>
      <c r="F9" s="9" t="str">
        <f>IF(D9="","",VLOOKUP(D9,$K$8:$L$64,2,))</f>
        <v>Cuenta Obligada Socia 2</v>
      </c>
      <c r="G9" s="6" t="str">
        <f>IF(E9="","",VLOOKUP(E9,$K$8:$L$64,2,))</f>
        <v/>
      </c>
      <c r="H9" s="23">
        <v>15000000</v>
      </c>
      <c r="I9" s="24"/>
      <c r="K9">
        <v>4</v>
      </c>
      <c r="L9" s="63" t="s">
        <v>13</v>
      </c>
      <c r="N9" s="20">
        <f>SUMIFS($H$8:$H$184,$D$8:$D$184,K9)</f>
        <v>21317250</v>
      </c>
      <c r="O9" s="20">
        <f>SUMIFS($I$8:$I$184,$E$8:$E$184,K9)</f>
        <v>21317250</v>
      </c>
      <c r="P9" s="20">
        <f>+N9-O9</f>
        <v>0</v>
      </c>
    </row>
    <row r="10" spans="2:17">
      <c r="B10" s="14"/>
      <c r="C10" s="16"/>
      <c r="D10" s="18"/>
      <c r="E10" s="18">
        <v>1</v>
      </c>
      <c r="F10" s="9" t="str">
        <f>IF(D10="","",VLOOKUP(D10,$K$8:$L$64,2,))</f>
        <v/>
      </c>
      <c r="G10" s="6" t="str">
        <f>IF(E10="","",VLOOKUP(E10,$K$8:$L$64,2,))</f>
        <v>Capital</v>
      </c>
      <c r="H10" s="23"/>
      <c r="I10" s="24">
        <f>+H8+H9</f>
        <v>30000000</v>
      </c>
      <c r="K10">
        <v>5</v>
      </c>
      <c r="L10" s="63" t="s">
        <v>15</v>
      </c>
      <c r="N10" s="20">
        <f>SUMIFS($H$8:$H$184,$D$8:$D$184,K10)</f>
        <v>600000</v>
      </c>
      <c r="O10" s="20">
        <f>SUMIFS($I$8:$I$184,$E$8:$E$184,K10)</f>
        <v>0</v>
      </c>
      <c r="P10" s="20">
        <f t="shared" ref="P10:P17" si="0">+N10-O10</f>
        <v>600000</v>
      </c>
    </row>
    <row r="11" spans="2:17">
      <c r="B11" s="14"/>
      <c r="C11" s="16"/>
      <c r="D11" s="18"/>
      <c r="E11" s="18"/>
      <c r="F11" s="9" t="s">
        <v>14</v>
      </c>
      <c r="G11" s="6" t="str">
        <f>IF(E11="","",VLOOKUP(E11,$K$8:$L$64,2,))</f>
        <v/>
      </c>
      <c r="H11" s="23"/>
      <c r="I11" s="24"/>
      <c r="K11">
        <v>6</v>
      </c>
      <c r="L11" s="63" t="s">
        <v>16</v>
      </c>
      <c r="N11" s="20">
        <f>SUMIFS($H$8:$H$184,$D$8:$D$184,K11)</f>
        <v>13050000</v>
      </c>
      <c r="O11" s="20">
        <f>SUMIFS($I$8:$I$184,$E$8:$E$184,K11)</f>
        <v>0</v>
      </c>
      <c r="P11" s="20">
        <f t="shared" si="0"/>
        <v>13050000</v>
      </c>
    </row>
    <row r="12" spans="2:17">
      <c r="B12" s="27"/>
      <c r="C12" s="28"/>
      <c r="D12" s="29"/>
      <c r="E12" s="29"/>
      <c r="F12" s="30" t="str">
        <f>IF(D12="","",VLOOKUP(D12,$K$8:$L$64,2,))</f>
        <v/>
      </c>
      <c r="G12" s="31" t="str">
        <f>IF(E12="","",VLOOKUP(E12,$K$8:$L$64,2,))</f>
        <v/>
      </c>
      <c r="H12" s="32"/>
      <c r="I12" s="33"/>
      <c r="K12">
        <v>7</v>
      </c>
      <c r="L12" s="63" t="s">
        <v>17</v>
      </c>
      <c r="N12" s="20">
        <f>SUMIFS($H$8:$H$184,$D$8:$D$184,K12)</f>
        <v>2400000</v>
      </c>
      <c r="O12" s="20">
        <f>SUMIFS($I$8:$I$184,$E$8:$E$184,K12)</f>
        <v>400000</v>
      </c>
      <c r="P12" s="20">
        <f t="shared" si="0"/>
        <v>2000000</v>
      </c>
    </row>
    <row r="13" spans="2:17">
      <c r="B13" s="13">
        <f>+B8+3</f>
        <v>44569</v>
      </c>
      <c r="C13" s="16">
        <v>2</v>
      </c>
      <c r="D13" s="18">
        <v>4</v>
      </c>
      <c r="E13" s="18"/>
      <c r="F13" s="9" t="str">
        <f>IF(D13="","",VLOOKUP(D13,$K$8:$L$64,2,))</f>
        <v>Banco</v>
      </c>
      <c r="G13" s="6" t="str">
        <f>IF(E13="","",VLOOKUP(E13,$K$8:$L$64,2,))</f>
        <v/>
      </c>
      <c r="H13" s="23">
        <v>15000000</v>
      </c>
      <c r="I13" s="24"/>
      <c r="K13">
        <v>8</v>
      </c>
      <c r="L13" s="63" t="s">
        <v>18</v>
      </c>
      <c r="N13" s="20">
        <f>SUMIFS($H$8:$H$184,$D$8:$D$184,K13)</f>
        <v>3169168.0672268909</v>
      </c>
      <c r="O13" s="20">
        <f>SUMIFS($I$8:$I$184,$E$8:$E$184,K13)</f>
        <v>0</v>
      </c>
      <c r="P13" s="20">
        <f t="shared" si="0"/>
        <v>3169168.0672268909</v>
      </c>
    </row>
    <row r="14" spans="2:17">
      <c r="B14" s="14"/>
      <c r="C14" s="16"/>
      <c r="D14" s="18"/>
      <c r="E14" s="18">
        <v>2</v>
      </c>
      <c r="F14" s="9" t="str">
        <f>IF(D14="","",VLOOKUP(D14,$K$8:$L$64,2,))</f>
        <v/>
      </c>
      <c r="G14" s="6" t="str">
        <f>IF(E14="","",VLOOKUP(E14,$K$8:$L$64,2,))</f>
        <v>Cuenta Obligada Socia 1</v>
      </c>
      <c r="H14" s="23"/>
      <c r="I14" s="24">
        <v>15000000</v>
      </c>
      <c r="K14">
        <v>10</v>
      </c>
      <c r="L14" s="63" t="s">
        <v>20</v>
      </c>
      <c r="N14" s="20">
        <f>SUMIFS($H$8:$H$184,$D$8:$D$184,K14)</f>
        <v>10000000</v>
      </c>
      <c r="O14" s="20">
        <f>SUMIFS($I$8:$I$184,$E$8:$E$184,K14)</f>
        <v>8500000</v>
      </c>
      <c r="P14" s="20">
        <f t="shared" si="0"/>
        <v>1500000</v>
      </c>
    </row>
    <row r="15" spans="2:17">
      <c r="B15" s="14"/>
      <c r="C15" s="16"/>
      <c r="D15" s="18"/>
      <c r="E15" s="18"/>
      <c r="F15" s="9" t="s">
        <v>14</v>
      </c>
      <c r="G15" s="6" t="str">
        <f t="shared" ref="G15:G16" si="1">IF(E15="","",VLOOKUP(E15,$K$8:$L$64,2,))</f>
        <v/>
      </c>
      <c r="H15" s="23"/>
      <c r="I15" s="24"/>
      <c r="K15">
        <v>11</v>
      </c>
      <c r="L15" s="63" t="s">
        <v>21</v>
      </c>
      <c r="N15" s="20">
        <f>SUMIFS($H$8:$H$184,$D$8:$D$184,K15)</f>
        <v>10924200</v>
      </c>
      <c r="O15" s="20">
        <f>SUMIFS($I$8:$I$184,$E$8:$E$184,K15)</f>
        <v>1000000</v>
      </c>
      <c r="P15" s="20">
        <f t="shared" si="0"/>
        <v>9924200</v>
      </c>
    </row>
    <row r="16" spans="2:17">
      <c r="B16" s="27"/>
      <c r="C16" s="28"/>
      <c r="D16" s="29"/>
      <c r="E16" s="29"/>
      <c r="F16" s="30" t="str">
        <f t="shared" ref="F16" si="2">IF(D16="","",VLOOKUP(D16,$K$8:$L$64,2,))</f>
        <v/>
      </c>
      <c r="G16" s="31" t="str">
        <f t="shared" si="1"/>
        <v/>
      </c>
      <c r="H16" s="32"/>
      <c r="I16" s="33"/>
      <c r="K16">
        <v>16</v>
      </c>
      <c r="L16" s="63" t="s">
        <v>26</v>
      </c>
      <c r="N16" s="20">
        <f>SUMIFS($H$8:$H$184,$D$8:$D$184,K16)</f>
        <v>300000</v>
      </c>
      <c r="O16" s="20">
        <f>SUMIFS($I$8:$I$184,$E$8:$E$184,K16)</f>
        <v>0</v>
      </c>
      <c r="P16" s="20">
        <f t="shared" si="0"/>
        <v>300000</v>
      </c>
    </row>
    <row r="17" spans="2:17">
      <c r="B17" s="13">
        <f>+B13+6</f>
        <v>44575</v>
      </c>
      <c r="C17" s="16">
        <v>3</v>
      </c>
      <c r="D17" s="18">
        <v>5</v>
      </c>
      <c r="E17" s="18"/>
      <c r="F17" s="9" t="str">
        <f>IF(D17="","",VLOOKUP(D17,$K$8:$L$64,2,))</f>
        <v>Equipos computacionales</v>
      </c>
      <c r="G17" s="6" t="str">
        <f>IF(E17="","",VLOOKUP(E17,$K$8:$L$64,2,))</f>
        <v/>
      </c>
      <c r="H17" s="23">
        <v>600000</v>
      </c>
      <c r="I17" s="24"/>
      <c r="K17">
        <v>21</v>
      </c>
      <c r="L17" s="63" t="s">
        <v>31</v>
      </c>
      <c r="N17" s="20">
        <f>SUMIFS($H$8:$H$184,$D$8:$D$184,K17)</f>
        <v>2250000</v>
      </c>
      <c r="O17" s="20">
        <f>SUMIFS($I$8:$I$184,$E$8:$E$184,K17)</f>
        <v>0</v>
      </c>
      <c r="P17" s="20">
        <f t="shared" si="0"/>
        <v>2250000</v>
      </c>
    </row>
    <row r="18" spans="2:17">
      <c r="B18" s="14"/>
      <c r="C18" s="16"/>
      <c r="D18" s="18">
        <v>6</v>
      </c>
      <c r="E18" s="18"/>
      <c r="F18" s="9" t="str">
        <f>IF(D18="","",VLOOKUP(D18,$K$8:$L$64,2,))</f>
        <v>Vehículos</v>
      </c>
      <c r="G18" s="6" t="str">
        <f>IF(E18="","",VLOOKUP(E18,$K$8:$L$64,2,))</f>
        <v/>
      </c>
      <c r="H18" s="23">
        <v>11400000</v>
      </c>
      <c r="I18" s="24"/>
      <c r="K18">
        <v>22</v>
      </c>
      <c r="L18" s="63" t="s">
        <v>32</v>
      </c>
      <c r="N18" s="20">
        <f t="shared" ref="N18:N22" si="3">SUMIFS($H$8:$H$184,$D$8:$D$184,K18)</f>
        <v>2150000</v>
      </c>
      <c r="O18" s="20">
        <f t="shared" ref="O18:O22" si="4">SUMIFS($I$8:$I$184,$E$8:$E$184,K18)</f>
        <v>0</v>
      </c>
      <c r="P18" s="20">
        <f t="shared" ref="P18:P22" si="5">+N18-O18</f>
        <v>2150000</v>
      </c>
    </row>
    <row r="19" spans="2:17">
      <c r="B19" s="14"/>
      <c r="C19" s="16"/>
      <c r="D19" s="18"/>
      <c r="E19" s="18">
        <v>3</v>
      </c>
      <c r="F19" s="9" t="str">
        <f>IF(D19="","",VLOOKUP(D19,$K$8:$L$64,2,))</f>
        <v/>
      </c>
      <c r="G19" s="6" t="str">
        <f>IF(E19="","",VLOOKUP(E19,$K$8:$L$64,2,))</f>
        <v>Cuenta Obligada Socia 2</v>
      </c>
      <c r="H19" s="23"/>
      <c r="I19" s="24">
        <f>+H17+H18</f>
        <v>12000000</v>
      </c>
      <c r="K19">
        <v>27</v>
      </c>
      <c r="L19" s="63" t="s">
        <v>43</v>
      </c>
      <c r="N19" s="20">
        <f t="shared" si="3"/>
        <v>0</v>
      </c>
      <c r="O19" s="20">
        <f t="shared" si="4"/>
        <v>50000</v>
      </c>
      <c r="Q19" s="20">
        <f>+O19-N19</f>
        <v>50000</v>
      </c>
    </row>
    <row r="20" spans="2:17">
      <c r="B20" s="14"/>
      <c r="C20" s="16"/>
      <c r="D20" s="18"/>
      <c r="E20" s="18"/>
      <c r="F20" s="9" t="s">
        <v>14</v>
      </c>
      <c r="G20" s="6" t="str">
        <f t="shared" ref="G20:G21" si="6">IF(E20="","",VLOOKUP(E20,$K$8:$L$64,2,))</f>
        <v/>
      </c>
      <c r="H20" s="23"/>
      <c r="I20" s="24"/>
      <c r="K20">
        <v>29</v>
      </c>
      <c r="L20" s="63" t="s">
        <v>45</v>
      </c>
      <c r="N20" s="20">
        <f t="shared" si="3"/>
        <v>0</v>
      </c>
      <c r="O20" s="20">
        <f t="shared" si="4"/>
        <v>373749.99999999994</v>
      </c>
      <c r="Q20" s="20">
        <f t="shared" ref="Q20:Q22" si="7">+O20-N20</f>
        <v>373749.99999999994</v>
      </c>
    </row>
    <row r="21" spans="2:17">
      <c r="B21" s="27"/>
      <c r="C21" s="28"/>
      <c r="D21" s="29"/>
      <c r="E21" s="29"/>
      <c r="F21" s="30" t="str">
        <f t="shared" ref="F21" si="8">IF(D21="","",VLOOKUP(D21,$K$8:$L$64,2,))</f>
        <v/>
      </c>
      <c r="G21" s="31" t="str">
        <f t="shared" si="6"/>
        <v/>
      </c>
      <c r="H21" s="32"/>
      <c r="I21" s="33"/>
      <c r="K21">
        <v>31</v>
      </c>
      <c r="L21" s="63" t="s">
        <v>49</v>
      </c>
      <c r="N21" s="20">
        <f t="shared" si="3"/>
        <v>0</v>
      </c>
      <c r="O21" s="20">
        <f t="shared" si="4"/>
        <v>93750</v>
      </c>
      <c r="Q21" s="20">
        <f t="shared" si="7"/>
        <v>93750</v>
      </c>
    </row>
    <row r="22" spans="2:17">
      <c r="B22" s="13">
        <f>+B17+17</f>
        <v>44592</v>
      </c>
      <c r="C22" s="16">
        <v>4</v>
      </c>
      <c r="D22" s="18">
        <v>7</v>
      </c>
      <c r="E22" s="18"/>
      <c r="F22" s="9" t="str">
        <f>IF(D22="","",VLOOKUP(D22,$K$8:$L$64,2,))</f>
        <v>Arriendo Bodega Pagada Anticipadamente</v>
      </c>
      <c r="G22" s="6" t="str">
        <f>IF(E22="","",VLOOKUP(E22,$K$8:$L$64,2,))</f>
        <v/>
      </c>
      <c r="H22" s="23">
        <v>2400000</v>
      </c>
      <c r="I22" s="24"/>
      <c r="K22">
        <v>33</v>
      </c>
      <c r="L22" s="63" t="s">
        <v>51</v>
      </c>
      <c r="N22" s="20">
        <f t="shared" si="3"/>
        <v>0</v>
      </c>
      <c r="O22" s="20">
        <f t="shared" si="4"/>
        <v>694694.00000000012</v>
      </c>
      <c r="Q22" s="20">
        <f t="shared" si="7"/>
        <v>694694.00000000012</v>
      </c>
    </row>
    <row r="23" spans="2:17">
      <c r="B23" s="14"/>
      <c r="C23" s="16"/>
      <c r="D23" s="18">
        <v>8</v>
      </c>
      <c r="E23" s="18"/>
      <c r="F23" s="9" t="str">
        <f>IF(D23="","",VLOOKUP(D23,$K$8:$L$64,2,))</f>
        <v>IVA CF</v>
      </c>
      <c r="G23" s="6" t="str">
        <f>IF(E23="","",VLOOKUP(E23,$K$8:$L$64,2,))</f>
        <v/>
      </c>
      <c r="H23" s="23">
        <f>+H22*0.19</f>
        <v>456000</v>
      </c>
      <c r="I23" s="24"/>
    </row>
    <row r="24" spans="2:17">
      <c r="B24" s="14"/>
      <c r="C24" s="16"/>
      <c r="D24" s="18"/>
      <c r="E24" s="18">
        <v>9</v>
      </c>
      <c r="F24" s="9" t="str">
        <f>IF(D24="","",VLOOKUP(D24,$K$8:$L$64,2,))</f>
        <v/>
      </c>
      <c r="G24" s="6" t="str">
        <f>IF(E24="","",VLOOKUP(E24,$K$8:$L$64,2,))</f>
        <v>Acreedores</v>
      </c>
      <c r="H24" s="23"/>
      <c r="I24" s="24">
        <f>+H22+H23</f>
        <v>2856000</v>
      </c>
      <c r="L24" s="12" t="s">
        <v>105</v>
      </c>
    </row>
    <row r="25" spans="2:17">
      <c r="B25" s="14"/>
      <c r="C25" s="16"/>
      <c r="D25" s="18"/>
      <c r="E25" s="18"/>
      <c r="F25" s="9" t="s">
        <v>14</v>
      </c>
      <c r="G25" s="6" t="str">
        <f t="shared" ref="G25:G26" si="9">IF(E25="","",VLOOKUP(E25,$K$8:$L$64,2,))</f>
        <v/>
      </c>
      <c r="H25" s="23"/>
      <c r="I25" s="24"/>
      <c r="K25">
        <v>9</v>
      </c>
      <c r="L25" s="63" t="s">
        <v>19</v>
      </c>
      <c r="N25" s="20">
        <f>SUMIFS($H$8:$H$184,$D$8:$D$184,K25)</f>
        <v>7949000</v>
      </c>
      <c r="O25" s="20">
        <f>SUMIFS($I$8:$I$184,$E$8:$E$184,K25)</f>
        <v>7949000</v>
      </c>
      <c r="Q25" s="20">
        <f>+O25-N25</f>
        <v>0</v>
      </c>
    </row>
    <row r="26" spans="2:17">
      <c r="B26" s="27"/>
      <c r="C26" s="28"/>
      <c r="D26" s="29"/>
      <c r="E26" s="29"/>
      <c r="F26" s="30" t="str">
        <f t="shared" ref="F26" si="10">IF(D26="","",VLOOKUP(D26,$K$8:$L$64,2,))</f>
        <v/>
      </c>
      <c r="G26" s="31" t="str">
        <f t="shared" si="9"/>
        <v/>
      </c>
      <c r="H26" s="32"/>
      <c r="I26" s="33"/>
      <c r="K26">
        <v>12</v>
      </c>
      <c r="L26" s="63" t="s">
        <v>22</v>
      </c>
      <c r="N26" s="20">
        <f>SUMIFS($H$8:$H$184,$D$8:$D$184,K26)</f>
        <v>0</v>
      </c>
      <c r="O26" s="20">
        <f>SUMIFS($I$8:$I$184,$E$8:$E$184,K26)</f>
        <v>1744200</v>
      </c>
      <c r="Q26" s="20">
        <f t="shared" ref="Q26:Q32" si="11">+O26-N26</f>
        <v>1744200</v>
      </c>
    </row>
    <row r="27" spans="2:17">
      <c r="B27" s="13">
        <f>+B22</f>
        <v>44592</v>
      </c>
      <c r="C27" s="16">
        <v>5</v>
      </c>
      <c r="D27" s="18">
        <v>9</v>
      </c>
      <c r="E27" s="18"/>
      <c r="F27" s="9" t="str">
        <f>IF(D27="","",VLOOKUP(D27,$K$8:$L$64,2,))</f>
        <v>Acreedores</v>
      </c>
      <c r="G27" s="6" t="str">
        <f>IF(E27="","",VLOOKUP(E27,$K$8:$L$64,2,))</f>
        <v/>
      </c>
      <c r="H27" s="23">
        <f>+I24</f>
        <v>2856000</v>
      </c>
      <c r="I27" s="24"/>
      <c r="K27">
        <v>13</v>
      </c>
      <c r="L27" s="63" t="s">
        <v>23</v>
      </c>
      <c r="N27" s="20">
        <f>SUMIFS($H$8:$H$184,$D$8:$D$184,K27)</f>
        <v>11900000</v>
      </c>
      <c r="O27" s="20">
        <f>SUMIFS($I$8:$I$184,$E$8:$E$184,K27)</f>
        <v>11900000</v>
      </c>
      <c r="Q27" s="20">
        <f t="shared" si="11"/>
        <v>0</v>
      </c>
    </row>
    <row r="28" spans="2:17">
      <c r="B28" s="14"/>
      <c r="C28" s="16"/>
      <c r="D28" s="18"/>
      <c r="E28" s="18">
        <v>4</v>
      </c>
      <c r="F28" s="9" t="str">
        <f>IF(D28="","",VLOOKUP(D28,$K$8:$L$64,2,))</f>
        <v/>
      </c>
      <c r="G28" s="6" t="str">
        <f>IF(E28="","",VLOOKUP(E28,$K$8:$L$64,2,))</f>
        <v>Banco</v>
      </c>
      <c r="H28" s="23"/>
      <c r="I28" s="24">
        <f>+H27</f>
        <v>2856000</v>
      </c>
      <c r="K28">
        <v>14</v>
      </c>
      <c r="L28" s="63" t="s">
        <v>24</v>
      </c>
      <c r="N28" s="20">
        <f>SUMIFS($H$8:$H$184,$D$8:$D$184,K28)</f>
        <v>1000000</v>
      </c>
      <c r="O28" s="20">
        <f>SUMIFS($I$8:$I$184,$E$8:$E$184,K28)</f>
        <v>1000000</v>
      </c>
      <c r="Q28" s="20">
        <f t="shared" si="11"/>
        <v>0</v>
      </c>
    </row>
    <row r="29" spans="2:17">
      <c r="B29" s="14"/>
      <c r="C29" s="16"/>
      <c r="D29" s="18"/>
      <c r="E29" s="18"/>
      <c r="F29" s="9" t="s">
        <v>14</v>
      </c>
      <c r="G29" s="6" t="str">
        <f t="shared" ref="G29:G30" si="12">IF(E29="","",VLOOKUP(E29,$K$8:$L$64,2,))</f>
        <v/>
      </c>
      <c r="H29" s="23"/>
      <c r="I29" s="24"/>
      <c r="K29">
        <v>19</v>
      </c>
      <c r="L29" s="63" t="s">
        <v>29</v>
      </c>
      <c r="N29" s="20">
        <f>SUMIFS($H$8:$H$184,$D$8:$D$184,K29)</f>
        <v>981750</v>
      </c>
      <c r="O29" s="20">
        <f>SUMIFS($I$8:$I$184,$E$8:$E$184,K29)</f>
        <v>981750</v>
      </c>
      <c r="Q29" s="20">
        <f t="shared" si="11"/>
        <v>0</v>
      </c>
    </row>
    <row r="30" spans="2:17">
      <c r="B30" s="27"/>
      <c r="C30" s="28"/>
      <c r="D30" s="29"/>
      <c r="E30" s="29"/>
      <c r="F30" s="30" t="str">
        <f t="shared" ref="F30" si="13">IF(D30="","",VLOOKUP(D30,$K$8:$L$64,2,))</f>
        <v/>
      </c>
      <c r="G30" s="31" t="str">
        <f t="shared" si="12"/>
        <v/>
      </c>
      <c r="H30" s="32"/>
      <c r="I30" s="33"/>
      <c r="K30">
        <v>20</v>
      </c>
      <c r="L30" s="63" t="s">
        <v>30</v>
      </c>
      <c r="N30" s="20">
        <f>SUMIFS($H$8:$H$184,$D$8:$D$184,K30)</f>
        <v>0</v>
      </c>
      <c r="O30" s="20">
        <f>SUMIFS($I$8:$I$184,$E$8:$E$184,K30)</f>
        <v>981750</v>
      </c>
      <c r="Q30" s="20">
        <f t="shared" si="11"/>
        <v>981750</v>
      </c>
    </row>
    <row r="31" spans="2:17">
      <c r="B31" s="13">
        <f>+B27+2</f>
        <v>44594</v>
      </c>
      <c r="C31" s="16">
        <v>6</v>
      </c>
      <c r="D31" s="18">
        <v>10</v>
      </c>
      <c r="E31" s="18"/>
      <c r="F31" s="9" t="str">
        <f>IF(D31="","",VLOOKUP(D31,$K$8:$L$64,2,))</f>
        <v>Mercaderías</v>
      </c>
      <c r="G31" s="6" t="str">
        <f>IF(E31="","",VLOOKUP(E31,$K$8:$L$64,2,))</f>
        <v/>
      </c>
      <c r="H31" s="23">
        <f>200*50000</f>
        <v>10000000</v>
      </c>
      <c r="I31" s="24"/>
      <c r="K31">
        <v>24</v>
      </c>
      <c r="L31" s="63" t="s">
        <v>39</v>
      </c>
      <c r="N31" s="20">
        <f>SUMIFS($H$8:$H$184,$D$8:$D$184,K31)</f>
        <v>0</v>
      </c>
      <c r="O31" s="20">
        <f>SUMIFS($I$8:$I$184,$E$8:$E$184,K31)</f>
        <v>2317250</v>
      </c>
      <c r="Q31" s="20">
        <f t="shared" si="11"/>
        <v>2317250</v>
      </c>
    </row>
    <row r="32" spans="2:17">
      <c r="B32" s="14"/>
      <c r="C32" s="16"/>
      <c r="D32" s="18">
        <v>8</v>
      </c>
      <c r="E32" s="18"/>
      <c r="F32" s="9" t="str">
        <f>IF(D32="","",VLOOKUP(D32,$K$8:$L$64,2,))</f>
        <v>IVA CF</v>
      </c>
      <c r="G32" s="6" t="str">
        <f>IF(E32="","",VLOOKUP(E32,$K$8:$L$64,2,))</f>
        <v/>
      </c>
      <c r="H32" s="23">
        <f>+H31*0.19</f>
        <v>1900000</v>
      </c>
      <c r="I32" s="24"/>
      <c r="K32">
        <v>25</v>
      </c>
      <c r="L32" s="63" t="s">
        <v>40</v>
      </c>
      <c r="N32" s="20">
        <f>SUMIFS($H$8:$H$184,$D$8:$D$184,K32)</f>
        <v>0</v>
      </c>
      <c r="O32" s="20">
        <f>SUMIFS($I$8:$I$184,$E$8:$E$184,K32)</f>
        <v>108550</v>
      </c>
      <c r="Q32" s="20">
        <f t="shared" si="11"/>
        <v>108550</v>
      </c>
    </row>
    <row r="33" spans="2:17">
      <c r="B33" s="14"/>
      <c r="C33" s="16"/>
      <c r="D33" s="18"/>
      <c r="E33" s="18">
        <v>13</v>
      </c>
      <c r="F33" s="9" t="str">
        <f>IF(D33="","",VLOOKUP(D33,$K$8:$L$64,2,))</f>
        <v/>
      </c>
      <c r="G33" s="6" t="str">
        <f>IF(E33="","",VLOOKUP(E33,$K$8:$L$64,2,))</f>
        <v>Proveedores</v>
      </c>
      <c r="H33" s="23"/>
      <c r="I33" s="24">
        <f>+H31+H32</f>
        <v>11900000</v>
      </c>
    </row>
    <row r="34" spans="2:17">
      <c r="B34" s="14"/>
      <c r="C34" s="16"/>
      <c r="D34" s="18"/>
      <c r="E34" s="18"/>
      <c r="F34" s="9" t="s">
        <v>14</v>
      </c>
      <c r="G34" s="6" t="str">
        <f t="shared" ref="G34:G35" si="14">IF(E34="","",VLOOKUP(E34,$K$8:$L$64,2,))</f>
        <v/>
      </c>
      <c r="H34" s="23"/>
      <c r="I34" s="24"/>
    </row>
    <row r="35" spans="2:17">
      <c r="B35" s="27"/>
      <c r="C35" s="28"/>
      <c r="D35" s="29"/>
      <c r="E35" s="29"/>
      <c r="F35" s="30" t="str">
        <f t="shared" ref="F35" si="15">IF(D35="","",VLOOKUP(D35,$K$8:$L$64,2,))</f>
        <v/>
      </c>
      <c r="G35" s="31" t="str">
        <f t="shared" si="14"/>
        <v/>
      </c>
      <c r="H35" s="32"/>
      <c r="I35" s="33"/>
    </row>
    <row r="36" spans="2:17">
      <c r="B36" s="13">
        <f>+B31</f>
        <v>44594</v>
      </c>
      <c r="C36" s="16">
        <v>7</v>
      </c>
      <c r="D36" s="18">
        <v>13</v>
      </c>
      <c r="E36" s="18"/>
      <c r="F36" s="9" t="str">
        <f t="shared" ref="F34:F70" si="16">IF(D36="","",VLOOKUP(D36,$K$8:$L$64,2,))</f>
        <v>Proveedores</v>
      </c>
      <c r="G36" s="6" t="str">
        <f t="shared" ref="G34:G70" si="17">IF(E36="","",VLOOKUP(E36,$K$8:$L$64,2,))</f>
        <v/>
      </c>
      <c r="H36" s="23">
        <f>+I33*0.8</f>
        <v>9520000</v>
      </c>
      <c r="I36" s="24"/>
      <c r="L36" s="12" t="s">
        <v>106</v>
      </c>
    </row>
    <row r="37" spans="2:17">
      <c r="B37" s="14"/>
      <c r="C37" s="16"/>
      <c r="D37" s="18"/>
      <c r="E37" s="18">
        <v>4</v>
      </c>
      <c r="F37" s="9" t="str">
        <f t="shared" si="16"/>
        <v/>
      </c>
      <c r="G37" s="6" t="str">
        <f t="shared" si="17"/>
        <v>Banco</v>
      </c>
      <c r="H37" s="23"/>
      <c r="I37" s="24">
        <f>+H36</f>
        <v>9520000</v>
      </c>
      <c r="K37">
        <v>1</v>
      </c>
      <c r="L37" s="63" t="s">
        <v>9</v>
      </c>
      <c r="N37" s="20">
        <f>SUMIFS($H$8:$H$184,$D$8:$D$184,K37)</f>
        <v>0</v>
      </c>
      <c r="O37" s="20">
        <f>SUMIFS($I$8:$I$184,$E$8:$E$184,K37)</f>
        <v>30000000</v>
      </c>
      <c r="Q37" s="20">
        <f t="shared" ref="Q37:Q39" si="18">+O37-N37</f>
        <v>30000000</v>
      </c>
    </row>
    <row r="38" spans="2:17">
      <c r="B38" s="14"/>
      <c r="C38" s="16"/>
      <c r="D38" s="18"/>
      <c r="E38" s="18"/>
      <c r="F38" s="9" t="s">
        <v>14</v>
      </c>
      <c r="G38" s="6" t="str">
        <f t="shared" si="17"/>
        <v/>
      </c>
      <c r="H38" s="23"/>
      <c r="I38" s="24"/>
      <c r="K38">
        <v>2</v>
      </c>
      <c r="L38" s="63" t="s">
        <v>10</v>
      </c>
      <c r="N38" s="20">
        <f>SUMIFS($H$8:$H$184,$D$8:$D$184,K38)</f>
        <v>15000000</v>
      </c>
      <c r="O38" s="20">
        <f>SUMIFS($I$8:$I$184,$E$8:$E$184,K38)</f>
        <v>15000000</v>
      </c>
      <c r="P38" s="20">
        <f>+N38-O38</f>
        <v>0</v>
      </c>
    </row>
    <row r="39" spans="2:17">
      <c r="B39" s="27"/>
      <c r="C39" s="28"/>
      <c r="D39" s="29"/>
      <c r="E39" s="29"/>
      <c r="F39" s="30" t="str">
        <f t="shared" ref="F39" si="19">IF(D39="","",VLOOKUP(D39,$K$8:$L$64,2,))</f>
        <v/>
      </c>
      <c r="G39" s="31" t="str">
        <f t="shared" si="17"/>
        <v/>
      </c>
      <c r="H39" s="32"/>
      <c r="I39" s="33"/>
      <c r="K39">
        <v>3</v>
      </c>
      <c r="L39" s="63" t="s">
        <v>11</v>
      </c>
      <c r="N39" s="20">
        <f>SUMIFS($H$8:$H$184,$D$8:$D$184,K39)</f>
        <v>15000000</v>
      </c>
      <c r="O39" s="20">
        <f>SUMIFS($I$8:$I$184,$E$8:$E$184,K39)</f>
        <v>15000000</v>
      </c>
      <c r="P39" s="20">
        <f>+N39-O39</f>
        <v>0</v>
      </c>
    </row>
    <row r="40" spans="2:17">
      <c r="B40" s="13">
        <f>+B36</f>
        <v>44594</v>
      </c>
      <c r="C40" s="16">
        <v>8</v>
      </c>
      <c r="D40" s="18">
        <v>4</v>
      </c>
      <c r="E40" s="18"/>
      <c r="F40" s="9" t="str">
        <f t="shared" si="16"/>
        <v>Banco</v>
      </c>
      <c r="G40" s="6" t="str">
        <f t="shared" si="17"/>
        <v/>
      </c>
      <c r="H40" s="23">
        <v>1000000</v>
      </c>
      <c r="I40" s="24"/>
    </row>
    <row r="41" spans="2:17">
      <c r="B41" s="14"/>
      <c r="C41" s="16"/>
      <c r="D41" s="18"/>
      <c r="E41" s="18">
        <v>14</v>
      </c>
      <c r="F41" s="9" t="str">
        <f t="shared" si="16"/>
        <v/>
      </c>
      <c r="G41" s="6" t="str">
        <f t="shared" si="17"/>
        <v>Anticipo de clientes</v>
      </c>
      <c r="H41" s="23"/>
      <c r="I41" s="24">
        <f>+H40</f>
        <v>1000000</v>
      </c>
      <c r="L41" s="12" t="s">
        <v>107</v>
      </c>
    </row>
    <row r="42" spans="2:17">
      <c r="B42" s="14"/>
      <c r="C42" s="16"/>
      <c r="D42" s="18"/>
      <c r="E42" s="18"/>
      <c r="F42" s="9" t="s">
        <v>14</v>
      </c>
      <c r="G42" s="6" t="str">
        <f t="shared" ref="G42:G43" si="20">IF(E42="","",VLOOKUP(E42,$K$8:$L$64,2,))</f>
        <v/>
      </c>
      <c r="H42" s="23"/>
      <c r="I42" s="24"/>
      <c r="K42">
        <v>17</v>
      </c>
      <c r="L42" s="63" t="s">
        <v>27</v>
      </c>
      <c r="N42" s="20">
        <f>SUMIFS($H$8:$H$184,$D$8:$D$184,K42)</f>
        <v>0</v>
      </c>
      <c r="O42" s="20">
        <f>SUMIFS($I$8:$I$184,$E$8:$E$184,K42)</f>
        <v>9180000</v>
      </c>
      <c r="Q42" s="20">
        <f t="shared" ref="Q42" si="21">+O42-N42</f>
        <v>9180000</v>
      </c>
    </row>
    <row r="43" spans="2:17">
      <c r="B43" s="27"/>
      <c r="C43" s="28"/>
      <c r="D43" s="29"/>
      <c r="E43" s="29"/>
      <c r="F43" s="30" t="str">
        <f t="shared" ref="F43" si="22">IF(D43="","",VLOOKUP(D43,$K$8:$L$64,2,))</f>
        <v/>
      </c>
      <c r="G43" s="31" t="str">
        <f t="shared" si="20"/>
        <v/>
      </c>
      <c r="H43" s="32"/>
      <c r="I43" s="33"/>
    </row>
    <row r="44" spans="2:17">
      <c r="B44" s="13">
        <f>+B40+3</f>
        <v>44597</v>
      </c>
      <c r="C44" s="16">
        <v>9</v>
      </c>
      <c r="D44" s="18">
        <v>15</v>
      </c>
      <c r="E44" s="18"/>
      <c r="F44" s="9" t="str">
        <f t="shared" si="16"/>
        <v>Gasto por arriendo oficina</v>
      </c>
      <c r="G44" s="6" t="str">
        <f t="shared" si="17"/>
        <v/>
      </c>
      <c r="H44" s="23">
        <v>150000</v>
      </c>
      <c r="I44" s="24"/>
    </row>
    <row r="45" spans="2:17">
      <c r="B45" s="14"/>
      <c r="C45" s="16"/>
      <c r="D45" s="18">
        <v>8</v>
      </c>
      <c r="E45" s="18"/>
      <c r="F45" s="9" t="str">
        <f t="shared" si="16"/>
        <v>IVA CF</v>
      </c>
      <c r="G45" s="6" t="str">
        <f t="shared" si="17"/>
        <v/>
      </c>
      <c r="H45" s="23">
        <f>+H44*0.19</f>
        <v>28500</v>
      </c>
      <c r="I45" s="24"/>
      <c r="L45" s="12" t="s">
        <v>108</v>
      </c>
    </row>
    <row r="46" spans="2:17">
      <c r="B46" s="14"/>
      <c r="C46" s="16"/>
      <c r="D46" s="18"/>
      <c r="E46" s="18">
        <v>9</v>
      </c>
      <c r="F46" s="9" t="str">
        <f t="shared" si="16"/>
        <v/>
      </c>
      <c r="G46" s="6" t="str">
        <f t="shared" si="17"/>
        <v>Acreedores</v>
      </c>
      <c r="H46" s="23"/>
      <c r="I46" s="24">
        <f>+H44+H45</f>
        <v>178500</v>
      </c>
      <c r="K46">
        <v>15</v>
      </c>
      <c r="L46" s="63" t="s">
        <v>25</v>
      </c>
      <c r="N46" s="20">
        <f>SUMIFS($H$8:$H$184,$D$8:$D$184,K46)</f>
        <v>300000</v>
      </c>
      <c r="O46" s="20">
        <f>SUMIFS($I$8:$I$184,$E$8:$E$184,K46)</f>
        <v>0</v>
      </c>
      <c r="P46" s="20">
        <f t="shared" ref="P46" si="23">+N46-O46</f>
        <v>300000</v>
      </c>
    </row>
    <row r="47" spans="2:17">
      <c r="B47" s="14"/>
      <c r="C47" s="16"/>
      <c r="D47" s="18"/>
      <c r="E47" s="18"/>
      <c r="F47" s="9" t="s">
        <v>14</v>
      </c>
      <c r="G47" s="6" t="str">
        <f t="shared" si="17"/>
        <v/>
      </c>
      <c r="H47" s="23"/>
      <c r="I47" s="24"/>
      <c r="K47">
        <v>18</v>
      </c>
      <c r="L47" s="63" t="s">
        <v>28</v>
      </c>
      <c r="N47" s="20">
        <f>SUMIFS($H$8:$H$184,$D$8:$D$184,K47)</f>
        <v>8500000</v>
      </c>
      <c r="O47" s="20">
        <f>SUMIFS($I$8:$I$184,$E$8:$E$184,K47)</f>
        <v>0</v>
      </c>
      <c r="P47" s="20">
        <f t="shared" ref="P47:P48" si="24">+N47-O47</f>
        <v>8500000</v>
      </c>
    </row>
    <row r="48" spans="2:17">
      <c r="B48" s="27"/>
      <c r="C48" s="28"/>
      <c r="D48" s="29"/>
      <c r="E48" s="29"/>
      <c r="F48" s="30" t="str">
        <f t="shared" ref="F48" si="25">IF(D48="","",VLOOKUP(D48,$K$8:$L$64,2,))</f>
        <v/>
      </c>
      <c r="G48" s="31" t="str">
        <f t="shared" si="17"/>
        <v/>
      </c>
      <c r="H48" s="32"/>
      <c r="I48" s="33"/>
      <c r="K48">
        <v>23</v>
      </c>
      <c r="L48" s="63" t="s">
        <v>33</v>
      </c>
      <c r="N48" s="20">
        <f>SUMIFS($H$8:$H$184,$D$8:$D$184,K48)</f>
        <v>188381.93277310923</v>
      </c>
      <c r="O48" s="20">
        <f>SUMIFS($I$8:$I$184,$E$8:$E$184,K48)</f>
        <v>0</v>
      </c>
      <c r="P48" s="20">
        <f t="shared" si="24"/>
        <v>188381.93277310923</v>
      </c>
    </row>
    <row r="49" spans="2:16">
      <c r="B49" s="13">
        <f>+B44</f>
        <v>44597</v>
      </c>
      <c r="C49" s="16">
        <v>10</v>
      </c>
      <c r="D49" s="18">
        <v>16</v>
      </c>
      <c r="E49" s="18"/>
      <c r="F49" s="9" t="str">
        <f t="shared" si="16"/>
        <v>Garantía arriendo oficina</v>
      </c>
      <c r="G49" s="6" t="str">
        <f t="shared" si="17"/>
        <v/>
      </c>
      <c r="H49" s="23">
        <v>300000</v>
      </c>
      <c r="I49" s="24"/>
      <c r="K49">
        <v>26</v>
      </c>
      <c r="L49" s="63" t="s">
        <v>42</v>
      </c>
      <c r="N49" s="20">
        <f t="shared" ref="N49:N53" si="26">SUMIFS($H$8:$H$184,$D$8:$D$184,K49)</f>
        <v>50000</v>
      </c>
      <c r="O49" s="20">
        <f t="shared" ref="O49:O53" si="27">SUMIFS($I$8:$I$184,$E$8:$E$184,K49)</f>
        <v>0</v>
      </c>
      <c r="P49" s="20">
        <f t="shared" ref="P49:P53" si="28">+N49-O49</f>
        <v>50000</v>
      </c>
    </row>
    <row r="50" spans="2:16">
      <c r="B50" s="14"/>
      <c r="C50" s="16"/>
      <c r="D50" s="18">
        <v>9</v>
      </c>
      <c r="E50" s="18"/>
      <c r="F50" s="9" t="str">
        <f t="shared" si="16"/>
        <v>Acreedores</v>
      </c>
      <c r="G50" s="6" t="str">
        <f t="shared" si="17"/>
        <v/>
      </c>
      <c r="H50" s="23">
        <f>+I46</f>
        <v>178500</v>
      </c>
      <c r="I50" s="24"/>
      <c r="K50">
        <v>28</v>
      </c>
      <c r="L50" s="63" t="s">
        <v>44</v>
      </c>
      <c r="N50" s="20">
        <f t="shared" si="26"/>
        <v>373749.99999999994</v>
      </c>
      <c r="O50" s="20">
        <f t="shared" si="27"/>
        <v>0</v>
      </c>
      <c r="P50" s="20">
        <f t="shared" si="28"/>
        <v>373749.99999999994</v>
      </c>
    </row>
    <row r="51" spans="2:16">
      <c r="B51" s="14"/>
      <c r="C51" s="16"/>
      <c r="D51" s="18"/>
      <c r="E51" s="18">
        <v>4</v>
      </c>
      <c r="F51" s="9" t="str">
        <f t="shared" si="16"/>
        <v/>
      </c>
      <c r="G51" s="6" t="str">
        <f t="shared" si="17"/>
        <v>Banco</v>
      </c>
      <c r="H51" s="23"/>
      <c r="I51" s="24">
        <f>+H49+H50</f>
        <v>478500</v>
      </c>
      <c r="K51">
        <v>30</v>
      </c>
      <c r="L51" s="63" t="s">
        <v>48</v>
      </c>
      <c r="N51" s="20">
        <f t="shared" si="26"/>
        <v>93750</v>
      </c>
      <c r="O51" s="20">
        <f t="shared" si="27"/>
        <v>0</v>
      </c>
      <c r="P51" s="20">
        <f t="shared" si="28"/>
        <v>93750</v>
      </c>
    </row>
    <row r="52" spans="2:16">
      <c r="B52" s="14"/>
      <c r="C52" s="16"/>
      <c r="D52" s="18"/>
      <c r="E52" s="18"/>
      <c r="F52" s="9" t="s">
        <v>14</v>
      </c>
      <c r="G52" s="6" t="str">
        <f t="shared" ref="G52:G53" si="29">IF(E52="","",VLOOKUP(E52,$K$8:$L$64,2,))</f>
        <v/>
      </c>
      <c r="H52" s="23"/>
      <c r="I52" s="24"/>
      <c r="K52">
        <v>32</v>
      </c>
      <c r="L52" s="63" t="s">
        <v>52</v>
      </c>
      <c r="N52" s="20">
        <f t="shared" si="26"/>
        <v>694694.00000000012</v>
      </c>
      <c r="O52" s="20">
        <f t="shared" si="27"/>
        <v>0</v>
      </c>
      <c r="P52" s="20">
        <f t="shared" si="28"/>
        <v>694694.00000000012</v>
      </c>
    </row>
    <row r="53" spans="2:16">
      <c r="B53" s="27"/>
      <c r="C53" s="28"/>
      <c r="D53" s="29"/>
      <c r="E53" s="29"/>
      <c r="F53" s="30" t="str">
        <f t="shared" ref="F53" si="30">IF(D53="","",VLOOKUP(D53,$K$8:$L$64,2,))</f>
        <v/>
      </c>
      <c r="G53" s="31" t="str">
        <f t="shared" si="29"/>
        <v/>
      </c>
      <c r="H53" s="32"/>
      <c r="I53" s="33"/>
      <c r="K53">
        <v>34</v>
      </c>
      <c r="L53" s="63" t="s">
        <v>57</v>
      </c>
      <c r="N53" s="20">
        <f t="shared" si="26"/>
        <v>400000</v>
      </c>
      <c r="O53" s="20">
        <f t="shared" si="27"/>
        <v>0</v>
      </c>
      <c r="P53" s="20">
        <f t="shared" si="28"/>
        <v>400000</v>
      </c>
    </row>
    <row r="54" spans="2:16">
      <c r="B54" s="13">
        <f>+B49+1</f>
        <v>44598</v>
      </c>
      <c r="C54" s="16">
        <v>11</v>
      </c>
      <c r="D54" s="18">
        <v>11</v>
      </c>
      <c r="E54" s="18"/>
      <c r="F54" s="9" t="str">
        <f t="shared" si="16"/>
        <v>Clientes</v>
      </c>
      <c r="G54" s="6" t="str">
        <f t="shared" si="17"/>
        <v/>
      </c>
      <c r="H54" s="23">
        <f>+I55+I56</f>
        <v>3213000</v>
      </c>
      <c r="I54" s="24"/>
    </row>
    <row r="55" spans="2:16">
      <c r="B55" s="14"/>
      <c r="C55" s="16"/>
      <c r="D55" s="18"/>
      <c r="E55" s="18">
        <v>17</v>
      </c>
      <c r="F55" s="9" t="str">
        <f t="shared" si="16"/>
        <v/>
      </c>
      <c r="G55" s="6" t="str">
        <f t="shared" si="17"/>
        <v>Ingresos por venta</v>
      </c>
      <c r="H55" s="23"/>
      <c r="I55" s="24">
        <f>50*54000</f>
        <v>2700000</v>
      </c>
    </row>
    <row r="56" spans="2:16">
      <c r="B56" s="14"/>
      <c r="C56" s="16"/>
      <c r="D56" s="18"/>
      <c r="E56" s="18">
        <v>12</v>
      </c>
      <c r="F56" s="9" t="str">
        <f t="shared" si="16"/>
        <v/>
      </c>
      <c r="G56" s="6" t="str">
        <f t="shared" si="17"/>
        <v>IVA DF</v>
      </c>
      <c r="H56" s="23"/>
      <c r="I56" s="24">
        <f>+I55*0.19</f>
        <v>513000</v>
      </c>
    </row>
    <row r="57" spans="2:16">
      <c r="B57" s="14"/>
      <c r="C57" s="16"/>
      <c r="D57" s="18"/>
      <c r="E57" s="18"/>
      <c r="F57" s="9" t="s">
        <v>14</v>
      </c>
      <c r="G57" s="6" t="str">
        <f t="shared" si="17"/>
        <v/>
      </c>
      <c r="H57" s="23"/>
      <c r="I57" s="24"/>
    </row>
    <row r="58" spans="2:16">
      <c r="B58" s="27"/>
      <c r="C58" s="28"/>
      <c r="D58" s="29"/>
      <c r="E58" s="29"/>
      <c r="F58" s="30" t="str">
        <f t="shared" ref="F58" si="31">IF(D58="","",VLOOKUP(D58,$K$8:$L$64,2,))</f>
        <v/>
      </c>
      <c r="G58" s="31" t="str">
        <f t="shared" si="17"/>
        <v/>
      </c>
      <c r="H58" s="32"/>
      <c r="I58" s="33"/>
    </row>
    <row r="59" spans="2:16">
      <c r="B59" s="13">
        <f>+B54</f>
        <v>44598</v>
      </c>
      <c r="C59" s="16">
        <v>12</v>
      </c>
      <c r="D59" s="18">
        <v>18</v>
      </c>
      <c r="E59" s="18"/>
      <c r="F59" s="9" t="str">
        <f t="shared" si="16"/>
        <v>Costo de Ventas</v>
      </c>
      <c r="G59" s="6" t="str">
        <f t="shared" si="17"/>
        <v/>
      </c>
      <c r="H59" s="23">
        <f>50*50000</f>
        <v>2500000</v>
      </c>
      <c r="I59" s="24"/>
    </row>
    <row r="60" spans="2:16">
      <c r="B60" s="14"/>
      <c r="C60" s="16"/>
      <c r="D60" s="18"/>
      <c r="E60" s="18">
        <v>10</v>
      </c>
      <c r="F60" s="9" t="str">
        <f t="shared" si="16"/>
        <v/>
      </c>
      <c r="G60" s="6" t="str">
        <f t="shared" si="17"/>
        <v>Mercaderías</v>
      </c>
      <c r="H60" s="23"/>
      <c r="I60" s="24">
        <f>+H59</f>
        <v>2500000</v>
      </c>
    </row>
    <row r="61" spans="2:16">
      <c r="B61" s="14"/>
      <c r="C61" s="16"/>
      <c r="D61" s="18"/>
      <c r="E61" s="18"/>
      <c r="F61" s="9" t="s">
        <v>14</v>
      </c>
      <c r="G61" s="6" t="str">
        <f t="shared" ref="G61:G62" si="32">IF(E61="","",VLOOKUP(E61,$K$8:$L$64,2,))</f>
        <v/>
      </c>
      <c r="H61" s="23"/>
      <c r="I61" s="24"/>
    </row>
    <row r="62" spans="2:16">
      <c r="B62" s="27"/>
      <c r="C62" s="28"/>
      <c r="D62" s="29"/>
      <c r="E62" s="29"/>
      <c r="F62" s="30" t="str">
        <f t="shared" ref="F62" si="33">IF(D62="","",VLOOKUP(D62,$K$8:$L$64,2,))</f>
        <v/>
      </c>
      <c r="G62" s="31" t="str">
        <f t="shared" si="32"/>
        <v/>
      </c>
      <c r="H62" s="32"/>
      <c r="I62" s="33"/>
    </row>
    <row r="63" spans="2:16">
      <c r="B63" s="13">
        <f>+B59</f>
        <v>44598</v>
      </c>
      <c r="C63" s="16">
        <v>13</v>
      </c>
      <c r="D63" s="18">
        <v>14</v>
      </c>
      <c r="E63" s="18"/>
      <c r="F63" s="9" t="str">
        <f t="shared" si="16"/>
        <v>Anticipo de clientes</v>
      </c>
      <c r="G63" s="6" t="str">
        <f t="shared" si="17"/>
        <v/>
      </c>
      <c r="H63" s="23">
        <v>1000000</v>
      </c>
      <c r="I63" s="24"/>
    </row>
    <row r="64" spans="2:16">
      <c r="B64" s="14"/>
      <c r="C64" s="16"/>
      <c r="D64" s="18"/>
      <c r="E64" s="18">
        <v>11</v>
      </c>
      <c r="F64" s="9" t="str">
        <f t="shared" si="16"/>
        <v/>
      </c>
      <c r="G64" s="6" t="str">
        <f t="shared" si="17"/>
        <v>Clientes</v>
      </c>
      <c r="H64" s="23"/>
      <c r="I64" s="24">
        <f>+H63</f>
        <v>1000000</v>
      </c>
    </row>
    <row r="65" spans="2:9">
      <c r="B65" s="14"/>
      <c r="C65" s="16"/>
      <c r="D65" s="18"/>
      <c r="E65" s="18"/>
      <c r="F65" s="9" t="s">
        <v>14</v>
      </c>
      <c r="G65" s="6" t="str">
        <f t="shared" si="17"/>
        <v/>
      </c>
      <c r="H65" s="23"/>
      <c r="I65" s="24"/>
    </row>
    <row r="66" spans="2:9">
      <c r="B66" s="27"/>
      <c r="C66" s="28"/>
      <c r="D66" s="29"/>
      <c r="E66" s="29"/>
      <c r="F66" s="30" t="str">
        <f t="shared" ref="F66" si="34">IF(D66="","",VLOOKUP(D66,$K$8:$L$64,2,))</f>
        <v/>
      </c>
      <c r="G66" s="31" t="str">
        <f t="shared" si="17"/>
        <v/>
      </c>
      <c r="H66" s="32"/>
      <c r="I66" s="33"/>
    </row>
    <row r="67" spans="2:9">
      <c r="B67" s="13">
        <f>+B63+4</f>
        <v>44602</v>
      </c>
      <c r="C67" s="16">
        <v>14</v>
      </c>
      <c r="D67" s="18">
        <v>6</v>
      </c>
      <c r="E67" s="18"/>
      <c r="F67" s="9" t="str">
        <f t="shared" si="16"/>
        <v>Vehículos</v>
      </c>
      <c r="G67" s="6" t="str">
        <f t="shared" si="17"/>
        <v/>
      </c>
      <c r="H67" s="23">
        <v>1650000</v>
      </c>
      <c r="I67" s="24"/>
    </row>
    <row r="68" spans="2:9">
      <c r="B68" s="14"/>
      <c r="C68" s="16"/>
      <c r="D68" s="18">
        <v>8</v>
      </c>
      <c r="E68" s="18"/>
      <c r="F68" s="9" t="str">
        <f t="shared" si="16"/>
        <v>IVA CF</v>
      </c>
      <c r="G68" s="6" t="str">
        <f t="shared" si="17"/>
        <v/>
      </c>
      <c r="H68" s="23">
        <f>+H67*0.19</f>
        <v>313500</v>
      </c>
      <c r="I68" s="24"/>
    </row>
    <row r="69" spans="2:9">
      <c r="B69" s="14"/>
      <c r="C69" s="16"/>
      <c r="D69" s="18"/>
      <c r="E69" s="18">
        <v>9</v>
      </c>
      <c r="F69" s="9" t="str">
        <f t="shared" si="16"/>
        <v/>
      </c>
      <c r="G69" s="6" t="str">
        <f t="shared" si="17"/>
        <v>Acreedores</v>
      </c>
      <c r="H69" s="23"/>
      <c r="I69" s="24">
        <f>+H67+H68</f>
        <v>1963500</v>
      </c>
    </row>
    <row r="70" spans="2:9">
      <c r="B70" s="14"/>
      <c r="C70" s="16"/>
      <c r="D70" s="18"/>
      <c r="E70" s="18"/>
      <c r="F70" s="9" t="s">
        <v>14</v>
      </c>
      <c r="G70" s="6" t="str">
        <f t="shared" ref="G70:G71" si="35">IF(E70="","",VLOOKUP(E70,$K$8:$L$64,2,))</f>
        <v/>
      </c>
      <c r="H70" s="23"/>
      <c r="I70" s="24"/>
    </row>
    <row r="71" spans="2:9">
      <c r="B71" s="27"/>
      <c r="C71" s="28"/>
      <c r="D71" s="29"/>
      <c r="E71" s="29"/>
      <c r="F71" s="30" t="str">
        <f t="shared" ref="F71" si="36">IF(D71="","",VLOOKUP(D71,$K$8:$L$64,2,))</f>
        <v/>
      </c>
      <c r="G71" s="31" t="str">
        <f t="shared" si="35"/>
        <v/>
      </c>
      <c r="H71" s="32"/>
      <c r="I71" s="33"/>
    </row>
    <row r="72" spans="2:9">
      <c r="B72" s="13">
        <f>+B67</f>
        <v>44602</v>
      </c>
      <c r="C72" s="16">
        <v>15</v>
      </c>
      <c r="D72" s="18">
        <v>9</v>
      </c>
      <c r="E72" s="18"/>
      <c r="F72" s="9" t="str">
        <f t="shared" ref="F71:F107" si="37">IF(D72="","",VLOOKUP(D72,$K$8:$L$64,2,))</f>
        <v>Acreedores</v>
      </c>
      <c r="G72" s="6" t="str">
        <f t="shared" ref="G71:G107" si="38">IF(E72="","",VLOOKUP(E72,$K$8:$L$64,2,))</f>
        <v/>
      </c>
      <c r="H72" s="23">
        <f>+I69</f>
        <v>1963500</v>
      </c>
      <c r="I72" s="24"/>
    </row>
    <row r="73" spans="2:9">
      <c r="B73" s="14"/>
      <c r="C73" s="16"/>
      <c r="D73" s="18"/>
      <c r="E73" s="18">
        <v>19</v>
      </c>
      <c r="F73" s="9" t="str">
        <f t="shared" si="37"/>
        <v/>
      </c>
      <c r="G73" s="6" t="str">
        <f t="shared" si="38"/>
        <v>Documentos por pagar - 30 días</v>
      </c>
      <c r="H73" s="23"/>
      <c r="I73" s="24">
        <f>+H72/2</f>
        <v>981750</v>
      </c>
    </row>
    <row r="74" spans="2:9">
      <c r="B74" s="14"/>
      <c r="C74" s="16"/>
      <c r="D74" s="18"/>
      <c r="E74" s="18">
        <v>20</v>
      </c>
      <c r="F74" s="9" t="str">
        <f t="shared" si="37"/>
        <v/>
      </c>
      <c r="G74" s="6" t="str">
        <f t="shared" si="38"/>
        <v>Documentos por pagar - 60 días</v>
      </c>
      <c r="H74" s="23"/>
      <c r="I74" s="24">
        <f>+I73</f>
        <v>981750</v>
      </c>
    </row>
    <row r="75" spans="2:9">
      <c r="B75" s="14"/>
      <c r="C75" s="16"/>
      <c r="D75" s="18"/>
      <c r="E75" s="18"/>
      <c r="F75" s="9" t="s">
        <v>14</v>
      </c>
      <c r="G75" s="6" t="str">
        <f t="shared" si="38"/>
        <v/>
      </c>
      <c r="H75" s="23"/>
      <c r="I75" s="24"/>
    </row>
    <row r="76" spans="2:9">
      <c r="B76" s="27"/>
      <c r="C76" s="28"/>
      <c r="D76" s="29"/>
      <c r="E76" s="29"/>
      <c r="F76" s="30" t="str">
        <f t="shared" ref="F76" si="39">IF(D76="","",VLOOKUP(D76,$K$8:$L$64,2,))</f>
        <v/>
      </c>
      <c r="G76" s="31" t="str">
        <f t="shared" si="38"/>
        <v/>
      </c>
      <c r="H76" s="32"/>
      <c r="I76" s="33"/>
    </row>
    <row r="77" spans="2:9">
      <c r="B77" s="13">
        <f>+B72+1</f>
        <v>44603</v>
      </c>
      <c r="C77" s="16">
        <v>16</v>
      </c>
      <c r="D77" s="18">
        <v>21</v>
      </c>
      <c r="E77" s="18"/>
      <c r="F77" s="9" t="str">
        <f t="shared" si="37"/>
        <v>Página web</v>
      </c>
      <c r="G77" s="6" t="str">
        <f t="shared" si="38"/>
        <v/>
      </c>
      <c r="H77" s="23">
        <v>2250000</v>
      </c>
      <c r="I77" s="24"/>
    </row>
    <row r="78" spans="2:9">
      <c r="B78" s="14"/>
      <c r="C78" s="16"/>
      <c r="D78" s="18">
        <v>8</v>
      </c>
      <c r="E78" s="18"/>
      <c r="F78" s="9" t="str">
        <f t="shared" si="37"/>
        <v>IVA CF</v>
      </c>
      <c r="G78" s="6" t="str">
        <f t="shared" si="38"/>
        <v/>
      </c>
      <c r="H78" s="23">
        <f>+H77*0.19</f>
        <v>427500</v>
      </c>
      <c r="I78" s="24"/>
    </row>
    <row r="79" spans="2:9">
      <c r="B79" s="14"/>
      <c r="C79" s="16"/>
      <c r="D79" s="18"/>
      <c r="E79" s="18">
        <v>9</v>
      </c>
      <c r="F79" s="9" t="str">
        <f t="shared" si="37"/>
        <v/>
      </c>
      <c r="G79" s="6" t="str">
        <f t="shared" si="38"/>
        <v>Acreedores</v>
      </c>
      <c r="H79" s="23"/>
      <c r="I79" s="24">
        <f>+H77+H78</f>
        <v>2677500</v>
      </c>
    </row>
    <row r="80" spans="2:9">
      <c r="B80" s="14"/>
      <c r="C80" s="16"/>
      <c r="D80" s="18"/>
      <c r="E80" s="18"/>
      <c r="F80" s="9" t="s">
        <v>14</v>
      </c>
      <c r="G80" s="6" t="str">
        <f t="shared" ref="G80:G81" si="40">IF(E80="","",VLOOKUP(E80,$K$8:$L$64,2,))</f>
        <v/>
      </c>
      <c r="H80" s="23"/>
      <c r="I80" s="24"/>
    </row>
    <row r="81" spans="2:9">
      <c r="B81" s="27"/>
      <c r="C81" s="28"/>
      <c r="D81" s="29"/>
      <c r="E81" s="29"/>
      <c r="F81" s="30" t="str">
        <f t="shared" ref="F81" si="41">IF(D81="","",VLOOKUP(D81,$K$8:$L$64,2,))</f>
        <v/>
      </c>
      <c r="G81" s="31" t="str">
        <f t="shared" si="40"/>
        <v/>
      </c>
      <c r="H81" s="32"/>
      <c r="I81" s="33"/>
    </row>
    <row r="82" spans="2:9">
      <c r="B82" s="13">
        <f>+B77</f>
        <v>44603</v>
      </c>
      <c r="C82" s="16">
        <v>17</v>
      </c>
      <c r="D82" s="18">
        <v>9</v>
      </c>
      <c r="E82" s="18"/>
      <c r="F82" s="9" t="str">
        <f t="shared" si="37"/>
        <v>Acreedores</v>
      </c>
      <c r="G82" s="6" t="str">
        <f t="shared" si="38"/>
        <v/>
      </c>
      <c r="H82" s="23">
        <f>+I79</f>
        <v>2677500</v>
      </c>
      <c r="I82" s="24"/>
    </row>
    <row r="83" spans="2:9">
      <c r="B83" s="14"/>
      <c r="C83" s="16"/>
      <c r="D83" s="18"/>
      <c r="E83" s="18">
        <v>4</v>
      </c>
      <c r="F83" s="9" t="str">
        <f t="shared" si="37"/>
        <v/>
      </c>
      <c r="G83" s="6" t="str">
        <f t="shared" si="38"/>
        <v>Banco</v>
      </c>
      <c r="H83" s="23"/>
      <c r="I83" s="24">
        <f>+H82</f>
        <v>2677500</v>
      </c>
    </row>
    <row r="84" spans="2:9">
      <c r="B84" s="14"/>
      <c r="C84" s="16"/>
      <c r="D84" s="18"/>
      <c r="E84" s="18"/>
      <c r="F84" s="9" t="s">
        <v>14</v>
      </c>
      <c r="G84" s="6" t="str">
        <f t="shared" si="38"/>
        <v/>
      </c>
      <c r="H84" s="23"/>
      <c r="I84" s="24"/>
    </row>
    <row r="85" spans="2:9">
      <c r="B85" s="27"/>
      <c r="C85" s="28"/>
      <c r="D85" s="29"/>
      <c r="E85" s="29"/>
      <c r="F85" s="30" t="str">
        <f t="shared" ref="F85" si="42">IF(D85="","",VLOOKUP(D85,$K$8:$L$64,2,))</f>
        <v/>
      </c>
      <c r="G85" s="31" t="str">
        <f t="shared" si="38"/>
        <v/>
      </c>
      <c r="H85" s="32"/>
      <c r="I85" s="33"/>
    </row>
    <row r="86" spans="2:9">
      <c r="B86" s="13">
        <f>+B82+1</f>
        <v>44604</v>
      </c>
      <c r="C86" s="16">
        <v>18</v>
      </c>
      <c r="D86" s="18">
        <v>22</v>
      </c>
      <c r="E86" s="18"/>
      <c r="F86" s="9" t="str">
        <f t="shared" si="37"/>
        <v>Marca comercial</v>
      </c>
      <c r="G86" s="6" t="str">
        <f t="shared" si="38"/>
        <v/>
      </c>
      <c r="H86" s="23">
        <v>2000000</v>
      </c>
      <c r="I86" s="24"/>
    </row>
    <row r="87" spans="2:9">
      <c r="B87" s="14"/>
      <c r="C87" s="16"/>
      <c r="D87" s="18"/>
      <c r="E87" s="18">
        <v>4</v>
      </c>
      <c r="F87" s="9" t="str">
        <f t="shared" si="37"/>
        <v/>
      </c>
      <c r="G87" s="6" t="str">
        <f t="shared" si="38"/>
        <v>Banco</v>
      </c>
      <c r="H87" s="23"/>
      <c r="I87" s="24">
        <f>+H86</f>
        <v>2000000</v>
      </c>
    </row>
    <row r="88" spans="2:9">
      <c r="B88" s="14"/>
      <c r="C88" s="16"/>
      <c r="D88" s="18"/>
      <c r="E88" s="18"/>
      <c r="F88" s="9" t="s">
        <v>14</v>
      </c>
      <c r="G88" s="6" t="str">
        <f t="shared" ref="G88:G89" si="43">IF(E88="","",VLOOKUP(E88,$K$8:$L$64,2,))</f>
        <v/>
      </c>
      <c r="H88" s="23"/>
      <c r="I88" s="24"/>
    </row>
    <row r="89" spans="2:9">
      <c r="B89" s="27"/>
      <c r="C89" s="28"/>
      <c r="D89" s="29"/>
      <c r="E89" s="29"/>
      <c r="F89" s="30" t="str">
        <f t="shared" ref="F89" si="44">IF(D89="","",VLOOKUP(D89,$K$8:$L$64,2,))</f>
        <v/>
      </c>
      <c r="G89" s="31" t="str">
        <f t="shared" si="43"/>
        <v/>
      </c>
      <c r="H89" s="32"/>
      <c r="I89" s="33"/>
    </row>
    <row r="90" spans="2:9">
      <c r="B90" s="13">
        <f>+B86</f>
        <v>44604</v>
      </c>
      <c r="C90" s="16">
        <v>19</v>
      </c>
      <c r="D90" s="18">
        <v>22</v>
      </c>
      <c r="E90" s="18"/>
      <c r="F90" s="9" t="str">
        <f t="shared" si="37"/>
        <v>Marca comercial</v>
      </c>
      <c r="G90" s="6" t="str">
        <f t="shared" si="38"/>
        <v/>
      </c>
      <c r="H90" s="23">
        <v>150000</v>
      </c>
      <c r="I90" s="24"/>
    </row>
    <row r="91" spans="2:9">
      <c r="B91" s="14"/>
      <c r="C91" s="16"/>
      <c r="D91" s="18"/>
      <c r="E91" s="18">
        <v>4</v>
      </c>
      <c r="F91" s="9" t="str">
        <f t="shared" si="37"/>
        <v/>
      </c>
      <c r="G91" s="6" t="str">
        <f t="shared" si="38"/>
        <v>Banco</v>
      </c>
      <c r="H91" s="23"/>
      <c r="I91" s="24">
        <f>+H90</f>
        <v>150000</v>
      </c>
    </row>
    <row r="92" spans="2:9">
      <c r="B92" s="14"/>
      <c r="C92" s="16"/>
      <c r="D92" s="18"/>
      <c r="E92" s="18"/>
      <c r="F92" s="9" t="s">
        <v>14</v>
      </c>
      <c r="G92" s="6" t="str">
        <f t="shared" si="38"/>
        <v/>
      </c>
      <c r="H92" s="23"/>
      <c r="I92" s="24"/>
    </row>
    <row r="93" spans="2:9">
      <c r="B93" s="27"/>
      <c r="C93" s="28"/>
      <c r="D93" s="29"/>
      <c r="E93" s="29"/>
      <c r="F93" s="30" t="str">
        <f t="shared" ref="F93" si="45">IF(D93="","",VLOOKUP(D93,$K$8:$L$64,2,))</f>
        <v/>
      </c>
      <c r="G93" s="31" t="str">
        <f t="shared" si="38"/>
        <v/>
      </c>
      <c r="H93" s="32"/>
      <c r="I93" s="33"/>
    </row>
    <row r="94" spans="2:9">
      <c r="B94" s="13">
        <f>+B90+21</f>
        <v>44625</v>
      </c>
      <c r="C94" s="16">
        <v>20</v>
      </c>
      <c r="D94" s="18">
        <v>15</v>
      </c>
      <c r="E94" s="18"/>
      <c r="F94" s="9" t="str">
        <f t="shared" si="37"/>
        <v>Gasto por arriendo oficina</v>
      </c>
      <c r="G94" s="6" t="str">
        <f t="shared" si="38"/>
        <v/>
      </c>
      <c r="H94" s="23">
        <v>150000</v>
      </c>
      <c r="I94" s="24"/>
    </row>
    <row r="95" spans="2:9">
      <c r="B95" s="14"/>
      <c r="C95" s="16"/>
      <c r="D95" s="18">
        <v>8</v>
      </c>
      <c r="E95" s="18"/>
      <c r="F95" s="9" t="str">
        <f t="shared" si="37"/>
        <v>IVA CF</v>
      </c>
      <c r="G95" s="6" t="str">
        <f t="shared" si="38"/>
        <v/>
      </c>
      <c r="H95" s="23">
        <f>+H94*0.19</f>
        <v>28500</v>
      </c>
      <c r="I95" s="24"/>
    </row>
    <row r="96" spans="2:9">
      <c r="B96" s="14"/>
      <c r="C96" s="16"/>
      <c r="D96" s="18"/>
      <c r="E96" s="18">
        <v>9</v>
      </c>
      <c r="F96" s="9" t="str">
        <f t="shared" si="37"/>
        <v/>
      </c>
      <c r="G96" s="6" t="str">
        <f t="shared" si="38"/>
        <v>Acreedores</v>
      </c>
      <c r="H96" s="23"/>
      <c r="I96" s="24">
        <f>+H94+H95</f>
        <v>178500</v>
      </c>
    </row>
    <row r="97" spans="2:9">
      <c r="B97" s="14"/>
      <c r="C97" s="16"/>
      <c r="D97" s="18"/>
      <c r="E97" s="18"/>
      <c r="F97" s="9" t="s">
        <v>14</v>
      </c>
      <c r="G97" s="6" t="str">
        <f t="shared" ref="G97:G98" si="46">IF(E97="","",VLOOKUP(E97,$K$8:$L$64,2,))</f>
        <v/>
      </c>
      <c r="H97" s="23"/>
      <c r="I97" s="24"/>
    </row>
    <row r="98" spans="2:9">
      <c r="B98" s="27"/>
      <c r="C98" s="28"/>
      <c r="D98" s="29"/>
      <c r="E98" s="29"/>
      <c r="F98" s="30" t="str">
        <f t="shared" ref="F98" si="47">IF(D98="","",VLOOKUP(D98,$K$8:$L$64,2,))</f>
        <v/>
      </c>
      <c r="G98" s="31" t="str">
        <f t="shared" si="46"/>
        <v/>
      </c>
      <c r="H98" s="32"/>
      <c r="I98" s="33"/>
    </row>
    <row r="99" spans="2:9">
      <c r="B99" s="13">
        <f>+B94</f>
        <v>44625</v>
      </c>
      <c r="C99" s="16">
        <v>21</v>
      </c>
      <c r="D99" s="18">
        <v>9</v>
      </c>
      <c r="E99" s="18"/>
      <c r="F99" s="9" t="str">
        <f t="shared" si="37"/>
        <v>Acreedores</v>
      </c>
      <c r="G99" s="6" t="str">
        <f t="shared" si="38"/>
        <v/>
      </c>
      <c r="H99" s="23">
        <f>+I96</f>
        <v>178500</v>
      </c>
      <c r="I99" s="24"/>
    </row>
    <row r="100" spans="2:9">
      <c r="B100" s="14"/>
      <c r="C100" s="16"/>
      <c r="D100" s="18"/>
      <c r="E100" s="18">
        <v>4</v>
      </c>
      <c r="F100" s="9" t="str">
        <f t="shared" si="37"/>
        <v/>
      </c>
      <c r="G100" s="6" t="str">
        <f t="shared" si="38"/>
        <v>Banco</v>
      </c>
      <c r="H100" s="23"/>
      <c r="I100" s="24">
        <f>+H99</f>
        <v>178500</v>
      </c>
    </row>
    <row r="101" spans="2:9">
      <c r="B101" s="14"/>
      <c r="C101" s="16"/>
      <c r="D101" s="18"/>
      <c r="E101" s="18"/>
      <c r="F101" s="9" t="s">
        <v>14</v>
      </c>
      <c r="G101" s="6" t="str">
        <f t="shared" si="38"/>
        <v/>
      </c>
      <c r="H101" s="23"/>
      <c r="I101" s="24"/>
    </row>
    <row r="102" spans="2:9">
      <c r="B102" s="27"/>
      <c r="C102" s="28"/>
      <c r="D102" s="29"/>
      <c r="E102" s="29"/>
      <c r="F102" s="30" t="str">
        <f t="shared" ref="F102" si="48">IF(D102="","",VLOOKUP(D102,$K$8:$L$64,2,))</f>
        <v/>
      </c>
      <c r="G102" s="31" t="str">
        <f t="shared" si="38"/>
        <v/>
      </c>
      <c r="H102" s="32"/>
      <c r="I102" s="33"/>
    </row>
    <row r="103" spans="2:9">
      <c r="B103" s="13">
        <f>+B99+5</f>
        <v>44630</v>
      </c>
      <c r="C103" s="16">
        <v>22</v>
      </c>
      <c r="D103" s="18">
        <v>23</v>
      </c>
      <c r="E103" s="18"/>
      <c r="F103" s="9" t="str">
        <f t="shared" si="37"/>
        <v>Gasto por consumo telefonía</v>
      </c>
      <c r="G103" s="6" t="str">
        <f t="shared" si="38"/>
        <v/>
      </c>
      <c r="H103" s="23">
        <f>95000/1.19</f>
        <v>79831.932773109249</v>
      </c>
      <c r="I103" s="24"/>
    </row>
    <row r="104" spans="2:9">
      <c r="B104" s="14"/>
      <c r="C104" s="16"/>
      <c r="D104" s="18">
        <v>8</v>
      </c>
      <c r="E104" s="18"/>
      <c r="F104" s="9" t="str">
        <f t="shared" si="37"/>
        <v>IVA CF</v>
      </c>
      <c r="G104" s="6" t="str">
        <f t="shared" si="38"/>
        <v/>
      </c>
      <c r="H104" s="23">
        <f>+H103*0.19</f>
        <v>15168.067226890758</v>
      </c>
      <c r="I104" s="24"/>
    </row>
    <row r="105" spans="2:9">
      <c r="B105" s="14"/>
      <c r="C105" s="16"/>
      <c r="D105" s="18"/>
      <c r="E105" s="18">
        <v>9</v>
      </c>
      <c r="F105" s="9" t="str">
        <f t="shared" si="37"/>
        <v/>
      </c>
      <c r="G105" s="6" t="str">
        <f t="shared" si="38"/>
        <v>Acreedores</v>
      </c>
      <c r="H105" s="23"/>
      <c r="I105" s="24">
        <f>+H103+H104</f>
        <v>95000</v>
      </c>
    </row>
    <row r="106" spans="2:9">
      <c r="B106" s="14"/>
      <c r="C106" s="16"/>
      <c r="D106" s="18"/>
      <c r="E106" s="18"/>
      <c r="F106" s="9" t="s">
        <v>14</v>
      </c>
      <c r="G106" s="6" t="str">
        <f t="shared" ref="G106:G107" si="49">IF(E106="","",VLOOKUP(E106,$K$8:$L$64,2,))</f>
        <v/>
      </c>
      <c r="H106" s="23"/>
      <c r="I106" s="24"/>
    </row>
    <row r="107" spans="2:9">
      <c r="B107" s="27"/>
      <c r="C107" s="28"/>
      <c r="D107" s="29"/>
      <c r="E107" s="29"/>
      <c r="F107" s="30" t="str">
        <f t="shared" ref="F107" si="50">IF(D107="","",VLOOKUP(D107,$K$8:$L$64,2,))</f>
        <v/>
      </c>
      <c r="G107" s="31" t="str">
        <f t="shared" si="49"/>
        <v/>
      </c>
      <c r="H107" s="32"/>
      <c r="I107" s="33"/>
    </row>
    <row r="108" spans="2:9">
      <c r="B108" s="13">
        <f>+B103</f>
        <v>44630</v>
      </c>
      <c r="C108" s="16">
        <v>23</v>
      </c>
      <c r="D108" s="18">
        <v>9</v>
      </c>
      <c r="E108" s="18"/>
      <c r="F108" s="9" t="str">
        <f t="shared" ref="F108:F137" si="51">IF(D108="","",VLOOKUP(D108,$K$8:$L$64,2,))</f>
        <v>Acreedores</v>
      </c>
      <c r="G108" s="6" t="str">
        <f t="shared" ref="G108:G137" si="52">IF(E108="","",VLOOKUP(E108,$K$8:$L$64,2,))</f>
        <v/>
      </c>
      <c r="H108" s="23">
        <f>+I105</f>
        <v>95000</v>
      </c>
      <c r="I108" s="24"/>
    </row>
    <row r="109" spans="2:9">
      <c r="B109" s="14"/>
      <c r="C109" s="16"/>
      <c r="D109" s="18"/>
      <c r="E109" s="18">
        <v>4</v>
      </c>
      <c r="F109" s="9" t="str">
        <f t="shared" si="51"/>
        <v/>
      </c>
      <c r="G109" s="6" t="str">
        <f t="shared" si="52"/>
        <v>Banco</v>
      </c>
      <c r="H109" s="23"/>
      <c r="I109" s="24">
        <f>+H108</f>
        <v>95000</v>
      </c>
    </row>
    <row r="110" spans="2:9">
      <c r="B110" s="14"/>
      <c r="C110" s="16"/>
      <c r="D110" s="18"/>
      <c r="E110" s="18"/>
      <c r="F110" s="9" t="s">
        <v>14</v>
      </c>
      <c r="G110" s="6" t="str">
        <f t="shared" si="52"/>
        <v/>
      </c>
      <c r="H110" s="23"/>
      <c r="I110" s="24"/>
    </row>
    <row r="111" spans="2:9">
      <c r="B111" s="27"/>
      <c r="C111" s="28"/>
      <c r="D111" s="29"/>
      <c r="E111" s="29"/>
      <c r="F111" s="30" t="str">
        <f t="shared" ref="F111" si="53">IF(D111="","",VLOOKUP(D111,$K$8:$L$64,2,))</f>
        <v/>
      </c>
      <c r="G111" s="31" t="str">
        <f t="shared" si="52"/>
        <v/>
      </c>
      <c r="H111" s="32"/>
      <c r="I111" s="33"/>
    </row>
    <row r="112" spans="2:9">
      <c r="B112" s="13">
        <f>+B108+2</f>
        <v>44632</v>
      </c>
      <c r="C112" s="16">
        <v>24</v>
      </c>
      <c r="D112" s="18">
        <v>19</v>
      </c>
      <c r="E112" s="18"/>
      <c r="F112" s="9" t="str">
        <f t="shared" si="51"/>
        <v>Documentos por pagar - 30 días</v>
      </c>
      <c r="G112" s="6" t="str">
        <f t="shared" si="52"/>
        <v/>
      </c>
      <c r="H112" s="23">
        <f>+I73</f>
        <v>981750</v>
      </c>
      <c r="I112" s="24"/>
    </row>
    <row r="113" spans="2:9">
      <c r="B113" s="14"/>
      <c r="C113" s="16"/>
      <c r="D113" s="18"/>
      <c r="E113" s="18">
        <v>4</v>
      </c>
      <c r="F113" s="9" t="str">
        <f t="shared" si="51"/>
        <v/>
      </c>
      <c r="G113" s="6" t="str">
        <f t="shared" si="52"/>
        <v>Banco</v>
      </c>
      <c r="H113" s="23"/>
      <c r="I113" s="24">
        <f>+H112</f>
        <v>981750</v>
      </c>
    </row>
    <row r="114" spans="2:9">
      <c r="B114" s="14"/>
      <c r="C114" s="16"/>
      <c r="D114" s="18"/>
      <c r="E114" s="18"/>
      <c r="F114" s="9" t="s">
        <v>14</v>
      </c>
      <c r="G114" s="6" t="str">
        <f t="shared" ref="G114:G115" si="54">IF(E114="","",VLOOKUP(E114,$K$8:$L$64,2,))</f>
        <v/>
      </c>
      <c r="H114" s="23"/>
      <c r="I114" s="24"/>
    </row>
    <row r="115" spans="2:9">
      <c r="B115" s="27"/>
      <c r="C115" s="28"/>
      <c r="D115" s="29"/>
      <c r="E115" s="29"/>
      <c r="F115" s="30" t="str">
        <f t="shared" ref="F115" si="55">IF(D115="","",VLOOKUP(D115,$K$8:$L$64,2,))</f>
        <v/>
      </c>
      <c r="G115" s="31" t="str">
        <f t="shared" si="54"/>
        <v/>
      </c>
      <c r="H115" s="32"/>
      <c r="I115" s="33"/>
    </row>
    <row r="116" spans="2:9">
      <c r="B116" s="13">
        <f>+B112+1</f>
        <v>44633</v>
      </c>
      <c r="C116" s="16">
        <v>25</v>
      </c>
      <c r="D116" s="18">
        <v>11</v>
      </c>
      <c r="E116" s="18"/>
      <c r="F116" s="9" t="str">
        <f t="shared" si="51"/>
        <v>Clientes</v>
      </c>
      <c r="G116" s="6" t="str">
        <f t="shared" si="52"/>
        <v/>
      </c>
      <c r="H116" s="23">
        <f>+I117+I118</f>
        <v>7711200</v>
      </c>
      <c r="I116" s="24"/>
    </row>
    <row r="117" spans="2:9">
      <c r="B117" s="14"/>
      <c r="C117" s="16"/>
      <c r="D117" s="18"/>
      <c r="E117" s="18">
        <v>17</v>
      </c>
      <c r="F117" s="9" t="str">
        <f t="shared" si="51"/>
        <v/>
      </c>
      <c r="G117" s="6" t="str">
        <f t="shared" si="52"/>
        <v>Ingresos por venta</v>
      </c>
      <c r="H117" s="23"/>
      <c r="I117" s="24">
        <f>120*54000</f>
        <v>6480000</v>
      </c>
    </row>
    <row r="118" spans="2:9">
      <c r="B118" s="14"/>
      <c r="C118" s="16"/>
      <c r="D118" s="18"/>
      <c r="E118" s="18">
        <v>12</v>
      </c>
      <c r="F118" s="9" t="str">
        <f t="shared" si="51"/>
        <v/>
      </c>
      <c r="G118" s="6" t="str">
        <f t="shared" si="52"/>
        <v>IVA DF</v>
      </c>
      <c r="H118" s="23"/>
      <c r="I118" s="24">
        <f>+I117*0.19</f>
        <v>1231200</v>
      </c>
    </row>
    <row r="119" spans="2:9">
      <c r="B119" s="14"/>
      <c r="C119" s="16"/>
      <c r="D119" s="18"/>
      <c r="E119" s="18"/>
      <c r="F119" s="9" t="s">
        <v>14</v>
      </c>
      <c r="G119" s="6" t="str">
        <f t="shared" si="52"/>
        <v/>
      </c>
      <c r="H119" s="23"/>
      <c r="I119" s="24"/>
    </row>
    <row r="120" spans="2:9">
      <c r="B120" s="27"/>
      <c r="C120" s="28"/>
      <c r="D120" s="29"/>
      <c r="E120" s="29"/>
      <c r="F120" s="30" t="str">
        <f t="shared" ref="F120" si="56">IF(D120="","",VLOOKUP(D120,$K$8:$L$64,2,))</f>
        <v/>
      </c>
      <c r="G120" s="31" t="str">
        <f t="shared" si="52"/>
        <v/>
      </c>
      <c r="H120" s="32"/>
      <c r="I120" s="33"/>
    </row>
    <row r="121" spans="2:9">
      <c r="B121" s="13">
        <f>+B116</f>
        <v>44633</v>
      </c>
      <c r="C121" s="16">
        <v>26</v>
      </c>
      <c r="D121" s="18">
        <v>18</v>
      </c>
      <c r="E121" s="18"/>
      <c r="F121" s="9" t="str">
        <f t="shared" si="51"/>
        <v>Costo de Ventas</v>
      </c>
      <c r="G121" s="6" t="str">
        <f t="shared" si="52"/>
        <v/>
      </c>
      <c r="H121" s="23">
        <f>120*50000</f>
        <v>6000000</v>
      </c>
      <c r="I121" s="24"/>
    </row>
    <row r="122" spans="2:9">
      <c r="B122" s="14"/>
      <c r="C122" s="16"/>
      <c r="D122" s="18"/>
      <c r="E122" s="18">
        <v>10</v>
      </c>
      <c r="F122" s="9" t="str">
        <f t="shared" si="51"/>
        <v/>
      </c>
      <c r="G122" s="6" t="str">
        <f t="shared" si="52"/>
        <v>Mercaderías</v>
      </c>
      <c r="H122" s="23"/>
      <c r="I122" s="24">
        <f>+H121</f>
        <v>6000000</v>
      </c>
    </row>
    <row r="123" spans="2:9">
      <c r="B123" s="14"/>
      <c r="C123" s="16"/>
      <c r="D123" s="18"/>
      <c r="E123" s="18"/>
      <c r="F123" s="9" t="s">
        <v>14</v>
      </c>
      <c r="G123" s="6" t="str">
        <f t="shared" ref="G123:G124" si="57">IF(E123="","",VLOOKUP(E123,$K$8:$L$64,2,))</f>
        <v/>
      </c>
      <c r="H123" s="23"/>
      <c r="I123" s="24"/>
    </row>
    <row r="124" spans="2:9">
      <c r="B124" s="27"/>
      <c r="C124" s="28"/>
      <c r="D124" s="29"/>
      <c r="E124" s="29"/>
      <c r="F124" s="30" t="str">
        <f t="shared" ref="F124" si="58">IF(D124="","",VLOOKUP(D124,$K$8:$L$64,2,))</f>
        <v/>
      </c>
      <c r="G124" s="31" t="str">
        <f t="shared" si="57"/>
        <v/>
      </c>
      <c r="H124" s="32"/>
      <c r="I124" s="33"/>
    </row>
    <row r="125" spans="2:9">
      <c r="B125" s="13">
        <f>+B121+5</f>
        <v>44638</v>
      </c>
      <c r="C125" s="16">
        <v>27</v>
      </c>
      <c r="D125" s="18">
        <v>13</v>
      </c>
      <c r="E125" s="18"/>
      <c r="F125" s="9" t="str">
        <f t="shared" si="51"/>
        <v>Proveedores</v>
      </c>
      <c r="G125" s="6" t="str">
        <f t="shared" si="52"/>
        <v/>
      </c>
      <c r="H125" s="23">
        <v>2380000</v>
      </c>
      <c r="I125" s="24"/>
    </row>
    <row r="126" spans="2:9">
      <c r="B126" s="14"/>
      <c r="C126" s="16"/>
      <c r="D126" s="18"/>
      <c r="E126" s="18">
        <v>4</v>
      </c>
      <c r="F126" s="9" t="str">
        <f t="shared" si="51"/>
        <v/>
      </c>
      <c r="G126" s="6" t="str">
        <f t="shared" si="52"/>
        <v>Banco</v>
      </c>
      <c r="H126" s="23"/>
      <c r="I126" s="24">
        <f>+H125</f>
        <v>2380000</v>
      </c>
    </row>
    <row r="127" spans="2:9">
      <c r="B127" s="14"/>
      <c r="C127" s="16"/>
      <c r="D127" s="18"/>
      <c r="E127" s="18"/>
      <c r="F127" s="9" t="s">
        <v>14</v>
      </c>
      <c r="G127" s="6" t="str">
        <f t="shared" si="52"/>
        <v/>
      </c>
      <c r="H127" s="23"/>
      <c r="I127" s="24"/>
    </row>
    <row r="128" spans="2:9">
      <c r="B128" s="27"/>
      <c r="C128" s="28"/>
      <c r="D128" s="29"/>
      <c r="E128" s="29"/>
      <c r="F128" s="30" t="str">
        <f t="shared" ref="F128" si="59">IF(D128="","",VLOOKUP(D128,$K$8:$L$64,2,))</f>
        <v/>
      </c>
      <c r="G128" s="31" t="str">
        <f t="shared" si="52"/>
        <v/>
      </c>
      <c r="H128" s="32"/>
      <c r="I128" s="33"/>
    </row>
    <row r="129" spans="2:11">
      <c r="B129" s="13">
        <f>+B125+2</f>
        <v>44640</v>
      </c>
      <c r="C129" s="16">
        <v>28</v>
      </c>
      <c r="D129" s="18">
        <v>4</v>
      </c>
      <c r="E129" s="18"/>
      <c r="F129" s="9" t="str">
        <f t="shared" si="51"/>
        <v>Banco</v>
      </c>
      <c r="G129" s="6" t="str">
        <f t="shared" si="52"/>
        <v/>
      </c>
      <c r="H129" s="23">
        <v>3000000</v>
      </c>
      <c r="I129" s="24"/>
    </row>
    <row r="130" spans="2:11">
      <c r="B130" s="14"/>
      <c r="C130" s="16"/>
      <c r="D130" s="18"/>
      <c r="E130" s="18">
        <v>3</v>
      </c>
      <c r="F130" s="9" t="str">
        <f t="shared" si="51"/>
        <v/>
      </c>
      <c r="G130" s="6" t="str">
        <f t="shared" si="52"/>
        <v>Cuenta Obligada Socia 2</v>
      </c>
      <c r="H130" s="23"/>
      <c r="I130" s="24">
        <f>+H129</f>
        <v>3000000</v>
      </c>
    </row>
    <row r="131" spans="2:11">
      <c r="B131" s="14"/>
      <c r="C131" s="16"/>
      <c r="D131" s="18"/>
      <c r="E131" s="18"/>
      <c r="F131" s="9" t="s">
        <v>14</v>
      </c>
      <c r="G131" s="6" t="str">
        <f t="shared" ref="G131:G132" si="60">IF(E131="","",VLOOKUP(E131,$K$8:$L$64,2,))</f>
        <v/>
      </c>
      <c r="H131" s="23"/>
      <c r="I131" s="24"/>
    </row>
    <row r="132" spans="2:11">
      <c r="B132" s="27"/>
      <c r="C132" s="28"/>
      <c r="D132" s="29"/>
      <c r="E132" s="29"/>
      <c r="F132" s="30" t="str">
        <f t="shared" ref="F132" si="61">IF(D132="","",VLOOKUP(D132,$K$8:$L$64,2,))</f>
        <v/>
      </c>
      <c r="G132" s="31" t="str">
        <f t="shared" si="60"/>
        <v/>
      </c>
      <c r="H132" s="32"/>
      <c r="I132" s="33"/>
    </row>
    <row r="133" spans="2:11">
      <c r="B133" s="13">
        <f>+B129+11</f>
        <v>44651</v>
      </c>
      <c r="C133" s="16">
        <v>29</v>
      </c>
      <c r="D133" s="18">
        <v>4</v>
      </c>
      <c r="E133" s="18"/>
      <c r="F133" s="9" t="str">
        <f t="shared" si="51"/>
        <v>Banco</v>
      </c>
      <c r="G133" s="6" t="str">
        <f t="shared" si="52"/>
        <v/>
      </c>
      <c r="H133" s="23">
        <v>2317250</v>
      </c>
      <c r="I133" s="24"/>
    </row>
    <row r="134" spans="2:11">
      <c r="B134" s="14"/>
      <c r="C134" s="16"/>
      <c r="D134" s="18"/>
      <c r="E134" s="18">
        <v>24</v>
      </c>
      <c r="F134" s="9" t="str">
        <f t="shared" si="51"/>
        <v/>
      </c>
      <c r="G134" s="6" t="str">
        <f t="shared" si="52"/>
        <v>Línea de crédito bancaria</v>
      </c>
      <c r="H134" s="23"/>
      <c r="I134" s="24">
        <f>+H133</f>
        <v>2317250</v>
      </c>
    </row>
    <row r="135" spans="2:11">
      <c r="B135" s="14"/>
      <c r="C135" s="16"/>
      <c r="D135" s="18"/>
      <c r="E135" s="18"/>
      <c r="F135" s="9" t="s">
        <v>14</v>
      </c>
      <c r="G135" s="6" t="str">
        <f t="shared" si="52"/>
        <v/>
      </c>
      <c r="H135" s="23"/>
      <c r="I135" s="24"/>
    </row>
    <row r="136" spans="2:11">
      <c r="B136" s="27"/>
      <c r="C136" s="28"/>
      <c r="D136" s="29"/>
      <c r="E136" s="29"/>
      <c r="F136" s="30" t="str">
        <f t="shared" ref="F136" si="62">IF(D136="","",VLOOKUP(D136,$K$8:$L$64,2,))</f>
        <v/>
      </c>
      <c r="G136" s="31" t="str">
        <f t="shared" si="52"/>
        <v/>
      </c>
      <c r="H136" s="32"/>
      <c r="I136" s="33"/>
    </row>
    <row r="137" spans="2:11">
      <c r="B137" s="13">
        <f>+B133</f>
        <v>44651</v>
      </c>
      <c r="C137" s="16">
        <v>30</v>
      </c>
      <c r="D137" s="18">
        <v>23</v>
      </c>
      <c r="E137" s="18"/>
      <c r="F137" s="9" t="str">
        <f t="shared" si="51"/>
        <v>Gasto por consumo telefonía</v>
      </c>
      <c r="G137" s="6" t="str">
        <f t="shared" si="52"/>
        <v/>
      </c>
      <c r="H137" s="23">
        <v>108550</v>
      </c>
      <c r="I137" s="24"/>
      <c r="K137" s="20"/>
    </row>
    <row r="138" spans="2:11">
      <c r="B138" s="14"/>
      <c r="C138" s="16"/>
      <c r="D138" s="18"/>
      <c r="E138" s="18">
        <v>25</v>
      </c>
      <c r="F138" s="9" t="str">
        <f t="shared" ref="F138:F164" si="63">IF(D138="","",VLOOKUP(D138,$K$8:$L$64,2,))</f>
        <v/>
      </c>
      <c r="G138" s="6" t="str">
        <f t="shared" ref="G138:G164" si="64">IF(E138="","",VLOOKUP(E138,$K$8:$L$64,2,))</f>
        <v>Provisión gasto consumo telefonía</v>
      </c>
      <c r="H138" s="23"/>
      <c r="I138" s="24">
        <f>+H137</f>
        <v>108550</v>
      </c>
    </row>
    <row r="139" spans="2:11">
      <c r="B139" s="14"/>
      <c r="C139" s="16"/>
      <c r="D139" s="18"/>
      <c r="E139" s="18"/>
      <c r="F139" s="9" t="s">
        <v>14</v>
      </c>
      <c r="G139" s="6" t="str">
        <f t="shared" si="64"/>
        <v/>
      </c>
      <c r="H139" s="23"/>
      <c r="I139" s="24"/>
    </row>
    <row r="140" spans="2:11">
      <c r="B140" s="27"/>
      <c r="C140" s="28"/>
      <c r="D140" s="29"/>
      <c r="E140" s="29"/>
      <c r="F140" s="30" t="str">
        <f t="shared" ref="F140" si="65">IF(D140="","",VLOOKUP(D140,$K$8:$L$64,2,))</f>
        <v/>
      </c>
      <c r="G140" s="31" t="str">
        <f t="shared" si="64"/>
        <v/>
      </c>
      <c r="H140" s="32"/>
      <c r="I140" s="33"/>
    </row>
    <row r="141" spans="2:11">
      <c r="B141" s="13">
        <f>+B137</f>
        <v>44651</v>
      </c>
      <c r="C141" s="16">
        <v>31</v>
      </c>
      <c r="D141" s="18">
        <v>26</v>
      </c>
      <c r="E141" s="18"/>
      <c r="F141" s="9" t="str">
        <f t="shared" si="63"/>
        <v>Depreciación equipos computacionales</v>
      </c>
      <c r="G141" s="6" t="str">
        <f t="shared" si="64"/>
        <v/>
      </c>
      <c r="H141" s="23">
        <f>600000/36*3</f>
        <v>50000</v>
      </c>
      <c r="I141" s="24"/>
    </row>
    <row r="142" spans="2:11">
      <c r="B142" s="14"/>
      <c r="C142" s="16"/>
      <c r="D142" s="18"/>
      <c r="E142" s="18">
        <v>27</v>
      </c>
      <c r="F142" s="9" t="str">
        <f t="shared" si="63"/>
        <v/>
      </c>
      <c r="G142" s="6" t="str">
        <f t="shared" si="64"/>
        <v>Depreciación Ac. equipos computacionales</v>
      </c>
      <c r="H142" s="23"/>
      <c r="I142" s="24">
        <f>+H141</f>
        <v>50000</v>
      </c>
    </row>
    <row r="143" spans="2:11">
      <c r="B143" s="14"/>
      <c r="C143" s="16"/>
      <c r="D143" s="18"/>
      <c r="E143" s="18"/>
      <c r="F143" s="9" t="s">
        <v>41</v>
      </c>
      <c r="G143" s="6" t="str">
        <f t="shared" si="64"/>
        <v/>
      </c>
      <c r="H143" s="23"/>
      <c r="I143" s="24"/>
    </row>
    <row r="144" spans="2:11">
      <c r="B144" s="14"/>
      <c r="C144" s="16"/>
      <c r="D144" s="18"/>
      <c r="E144" s="18"/>
      <c r="F144" s="9" t="s">
        <v>14</v>
      </c>
      <c r="G144" s="6" t="str">
        <f t="shared" ref="G144:G145" si="66">IF(E144="","",VLOOKUP(E144,$K$8:$L$64,2,))</f>
        <v/>
      </c>
      <c r="H144" s="23"/>
      <c r="I144" s="24"/>
    </row>
    <row r="145" spans="2:11">
      <c r="B145" s="27"/>
      <c r="C145" s="28"/>
      <c r="D145" s="29"/>
      <c r="E145" s="29"/>
      <c r="F145" s="30" t="str">
        <f t="shared" ref="F145" si="67">IF(D145="","",VLOOKUP(D145,$K$8:$L$64,2,))</f>
        <v/>
      </c>
      <c r="G145" s="31" t="str">
        <f t="shared" si="66"/>
        <v/>
      </c>
      <c r="H145" s="32"/>
      <c r="I145" s="33"/>
    </row>
    <row r="146" spans="2:11">
      <c r="B146" s="13">
        <f>+B141</f>
        <v>44651</v>
      </c>
      <c r="C146" s="16">
        <v>32</v>
      </c>
      <c r="D146" s="18">
        <v>28</v>
      </c>
      <c r="E146" s="18"/>
      <c r="F146" s="9" t="str">
        <f t="shared" si="63"/>
        <v>Depreciación vehículos</v>
      </c>
      <c r="G146" s="6" t="str">
        <f t="shared" si="64"/>
        <v/>
      </c>
      <c r="H146" s="23">
        <f>+G148+G149</f>
        <v>373749.99999999994</v>
      </c>
      <c r="I146" s="24"/>
    </row>
    <row r="147" spans="2:11">
      <c r="B147" s="14"/>
      <c r="C147" s="16"/>
      <c r="D147" s="18"/>
      <c r="E147" s="18">
        <v>29</v>
      </c>
      <c r="F147" s="9" t="str">
        <f t="shared" si="63"/>
        <v/>
      </c>
      <c r="G147" s="6" t="str">
        <f t="shared" si="64"/>
        <v>Depreciación Ac. vehículos</v>
      </c>
      <c r="H147" s="23"/>
      <c r="I147" s="24">
        <f>+H146</f>
        <v>373749.99999999994</v>
      </c>
    </row>
    <row r="148" spans="2:11">
      <c r="B148" s="14"/>
      <c r="C148" s="16"/>
      <c r="D148" s="18"/>
      <c r="E148" s="18"/>
      <c r="F148" s="9" t="s">
        <v>46</v>
      </c>
      <c r="G148" s="37">
        <f>+(11400000*0.7)/72*3</f>
        <v>332499.99999999994</v>
      </c>
      <c r="H148" s="23"/>
      <c r="I148" s="24"/>
    </row>
    <row r="149" spans="2:11">
      <c r="B149" s="14"/>
      <c r="C149" s="16"/>
      <c r="D149" s="18"/>
      <c r="E149" s="18"/>
      <c r="F149" s="9" t="s">
        <v>47</v>
      </c>
      <c r="G149" s="37">
        <f>+(1650000*0.75)/60*2</f>
        <v>41250</v>
      </c>
      <c r="H149" s="23"/>
      <c r="I149" s="24"/>
    </row>
    <row r="150" spans="2:11">
      <c r="B150" s="14"/>
      <c r="C150" s="16"/>
      <c r="D150" s="18"/>
      <c r="E150" s="18"/>
      <c r="F150" s="9" t="s">
        <v>14</v>
      </c>
      <c r="G150" s="6" t="str">
        <f t="shared" ref="G150:G151" si="68">IF(E150="","",VLOOKUP(E150,$K$8:$L$64,2,))</f>
        <v/>
      </c>
      <c r="H150" s="23"/>
      <c r="I150" s="24"/>
    </row>
    <row r="151" spans="2:11">
      <c r="B151" s="27"/>
      <c r="C151" s="28"/>
      <c r="D151" s="29"/>
      <c r="E151" s="29"/>
      <c r="F151" s="30" t="str">
        <f t="shared" ref="F151" si="69">IF(D151="","",VLOOKUP(D151,$K$8:$L$64,2,))</f>
        <v/>
      </c>
      <c r="G151" s="31" t="str">
        <f t="shared" si="68"/>
        <v/>
      </c>
      <c r="H151" s="32"/>
      <c r="I151" s="33"/>
    </row>
    <row r="152" spans="2:11">
      <c r="B152" s="13">
        <f>+B146</f>
        <v>44651</v>
      </c>
      <c r="C152" s="16">
        <v>33</v>
      </c>
      <c r="D152" s="18">
        <v>30</v>
      </c>
      <c r="E152" s="18"/>
      <c r="F152" s="9" t="str">
        <f t="shared" si="63"/>
        <v>Amortización página web</v>
      </c>
      <c r="G152" s="6" t="str">
        <f t="shared" si="64"/>
        <v/>
      </c>
      <c r="H152" s="23">
        <f>2250000/48*2</f>
        <v>93750</v>
      </c>
      <c r="I152" s="24"/>
    </row>
    <row r="153" spans="2:11">
      <c r="B153" s="14"/>
      <c r="C153" s="16"/>
      <c r="D153" s="18"/>
      <c r="E153" s="18">
        <v>31</v>
      </c>
      <c r="F153" s="9" t="str">
        <f t="shared" si="63"/>
        <v/>
      </c>
      <c r="G153" s="6" t="str">
        <f t="shared" si="64"/>
        <v>Amortización Ac. página web</v>
      </c>
      <c r="H153" s="23"/>
      <c r="I153" s="24">
        <f>+H152</f>
        <v>93750</v>
      </c>
    </row>
    <row r="154" spans="2:11">
      <c r="B154" s="14"/>
      <c r="C154" s="16"/>
      <c r="D154" s="18"/>
      <c r="E154" s="18"/>
      <c r="F154" s="9" t="str">
        <f t="shared" si="63"/>
        <v/>
      </c>
      <c r="G154" s="6" t="str">
        <f t="shared" si="64"/>
        <v/>
      </c>
      <c r="H154" s="23"/>
      <c r="I154" s="24"/>
    </row>
    <row r="155" spans="2:11">
      <c r="B155" s="14"/>
      <c r="C155" s="16"/>
      <c r="D155" s="18"/>
      <c r="E155" s="18"/>
      <c r="F155" s="9" t="s">
        <v>50</v>
      </c>
      <c r="G155" s="6" t="str">
        <f t="shared" si="64"/>
        <v/>
      </c>
      <c r="H155" s="23"/>
      <c r="I155" s="24"/>
    </row>
    <row r="156" spans="2:11">
      <c r="B156" s="14"/>
      <c r="C156" s="16"/>
      <c r="D156" s="18"/>
      <c r="E156" s="18"/>
      <c r="F156" s="9" t="s">
        <v>14</v>
      </c>
      <c r="G156" s="6" t="str">
        <f t="shared" si="64"/>
        <v/>
      </c>
      <c r="H156" s="23"/>
      <c r="I156" s="24"/>
    </row>
    <row r="157" spans="2:11">
      <c r="B157" s="27"/>
      <c r="C157" s="28"/>
      <c r="D157" s="29"/>
      <c r="E157" s="29"/>
      <c r="F157" s="30" t="str">
        <f t="shared" ref="F157" si="70">IF(D157="","",VLOOKUP(D157,$K$8:$L$64,2,))</f>
        <v/>
      </c>
      <c r="G157" s="31" t="str">
        <f t="shared" si="64"/>
        <v/>
      </c>
      <c r="H157" s="32"/>
      <c r="I157" s="33"/>
    </row>
    <row r="158" spans="2:11">
      <c r="B158" s="13">
        <f>+B152</f>
        <v>44651</v>
      </c>
      <c r="C158" s="16">
        <v>34</v>
      </c>
      <c r="D158" s="18">
        <v>32</v>
      </c>
      <c r="E158" s="18"/>
      <c r="F158" s="9" t="str">
        <f t="shared" si="63"/>
        <v>Deterioro Clientes</v>
      </c>
      <c r="G158" s="6" t="str">
        <f t="shared" si="64"/>
        <v/>
      </c>
      <c r="H158" s="23">
        <f>+G160*G161</f>
        <v>694694.00000000012</v>
      </c>
      <c r="I158" s="24"/>
    </row>
    <row r="159" spans="2:11">
      <c r="B159" s="14"/>
      <c r="C159" s="16"/>
      <c r="D159" s="18"/>
      <c r="E159" s="18">
        <v>33</v>
      </c>
      <c r="F159" s="9" t="str">
        <f t="shared" si="63"/>
        <v/>
      </c>
      <c r="G159" s="6" t="str">
        <f t="shared" si="64"/>
        <v>Deterioro Ac. Clientes</v>
      </c>
      <c r="H159" s="23"/>
      <c r="I159" s="24">
        <f>+H158</f>
        <v>694694.00000000012</v>
      </c>
    </row>
    <row r="160" spans="2:11">
      <c r="B160" s="14"/>
      <c r="C160" s="16"/>
      <c r="D160" s="18"/>
      <c r="E160" s="18"/>
      <c r="F160" s="9" t="s">
        <v>53</v>
      </c>
      <c r="G160" s="37">
        <v>9924200</v>
      </c>
      <c r="H160" s="23"/>
      <c r="I160" s="24"/>
      <c r="K160" s="20">
        <f>+P15</f>
        <v>9924200</v>
      </c>
    </row>
    <row r="161" spans="2:14">
      <c r="B161" s="14"/>
      <c r="C161" s="16"/>
      <c r="D161" s="18"/>
      <c r="E161" s="18"/>
      <c r="F161" s="9" t="s">
        <v>54</v>
      </c>
      <c r="G161" s="38">
        <v>7.0000000000000007E-2</v>
      </c>
      <c r="H161" s="23"/>
      <c r="I161" s="24"/>
    </row>
    <row r="162" spans="2:14">
      <c r="B162" s="14"/>
      <c r="C162" s="16"/>
      <c r="D162" s="18"/>
      <c r="E162" s="18"/>
      <c r="F162" s="9" t="s">
        <v>14</v>
      </c>
      <c r="G162" s="6" t="str">
        <f t="shared" ref="G162:G163" si="71">IF(E162="","",VLOOKUP(E162,$K$8:$L$64,2,))</f>
        <v/>
      </c>
      <c r="H162" s="23"/>
      <c r="I162" s="24"/>
    </row>
    <row r="163" spans="2:14">
      <c r="B163" s="27"/>
      <c r="C163" s="28"/>
      <c r="D163" s="29"/>
      <c r="E163" s="29"/>
      <c r="F163" s="30" t="str">
        <f t="shared" ref="F163" si="72">IF(D163="","",VLOOKUP(D163,$K$8:$L$64,2,))</f>
        <v/>
      </c>
      <c r="G163" s="31" t="str">
        <f t="shared" si="71"/>
        <v/>
      </c>
      <c r="H163" s="32"/>
      <c r="I163" s="33"/>
    </row>
    <row r="164" spans="2:14">
      <c r="B164" s="13">
        <f>+B158</f>
        <v>44651</v>
      </c>
      <c r="C164" s="16">
        <v>35</v>
      </c>
      <c r="D164" s="18">
        <v>34</v>
      </c>
      <c r="E164" s="18"/>
      <c r="F164" s="9" t="str">
        <f t="shared" si="63"/>
        <v>Gasto Arriendo Bodega</v>
      </c>
      <c r="G164" s="6" t="str">
        <f t="shared" si="64"/>
        <v/>
      </c>
      <c r="H164" s="23">
        <f>+L165+L166</f>
        <v>400000</v>
      </c>
      <c r="I164" s="24"/>
      <c r="K164" s="1">
        <v>44592</v>
      </c>
      <c r="M164" s="41">
        <f>SUM(L165:L176)</f>
        <v>2400000</v>
      </c>
      <c r="N164" t="s">
        <v>56</v>
      </c>
    </row>
    <row r="165" spans="2:14">
      <c r="B165" s="14"/>
      <c r="C165" s="16"/>
      <c r="D165" s="18"/>
      <c r="E165" s="18">
        <v>7</v>
      </c>
      <c r="F165" s="9" t="str">
        <f t="shared" ref="F165:F183" si="73">IF(D165="","",VLOOKUP(D165,$K$8:$L$64,2,))</f>
        <v/>
      </c>
      <c r="G165" s="6" t="str">
        <f t="shared" ref="G165:G183" si="74">IF(E165="","",VLOOKUP(E165,$K$8:$L$64,2,))</f>
        <v>Arriendo Bodega Pagada Anticipadamente</v>
      </c>
      <c r="H165" s="23"/>
      <c r="I165" s="24">
        <f>+H164</f>
        <v>400000</v>
      </c>
      <c r="K165" s="39">
        <v>44593</v>
      </c>
      <c r="L165" s="42">
        <f>2400000/12</f>
        <v>200000</v>
      </c>
      <c r="M165" t="s">
        <v>58</v>
      </c>
    </row>
    <row r="166" spans="2:14">
      <c r="B166" s="14"/>
      <c r="C166" s="16"/>
      <c r="D166" s="18"/>
      <c r="E166" s="18"/>
      <c r="F166" s="9" t="s">
        <v>14</v>
      </c>
      <c r="G166" s="6" t="str">
        <f t="shared" si="74"/>
        <v/>
      </c>
      <c r="H166" s="23"/>
      <c r="I166" s="24"/>
      <c r="K166" s="39">
        <v>44621</v>
      </c>
      <c r="L166" s="42">
        <f>+L165</f>
        <v>200000</v>
      </c>
      <c r="M166" t="s">
        <v>58</v>
      </c>
    </row>
    <row r="167" spans="2:14">
      <c r="B167" s="27"/>
      <c r="C167" s="28"/>
      <c r="D167" s="29"/>
      <c r="E167" s="29"/>
      <c r="F167" s="30" t="str">
        <f t="shared" ref="F167" si="75">IF(D167="","",VLOOKUP(D167,$K$8:$L$64,2,))</f>
        <v/>
      </c>
      <c r="G167" s="31" t="str">
        <f t="shared" si="74"/>
        <v/>
      </c>
      <c r="H167" s="32"/>
      <c r="I167" s="33"/>
      <c r="K167" s="39">
        <v>44652</v>
      </c>
      <c r="L167" s="40">
        <f t="shared" ref="L167:L176" si="76">+L166</f>
        <v>200000</v>
      </c>
      <c r="M167" s="41">
        <f>SUM(L167:L176)</f>
        <v>2000000</v>
      </c>
      <c r="N167" t="s">
        <v>55</v>
      </c>
    </row>
    <row r="168" spans="2:14">
      <c r="B168" s="14"/>
      <c r="C168" s="16"/>
      <c r="D168" s="18"/>
      <c r="E168" s="18"/>
      <c r="F168" s="9" t="str">
        <f t="shared" si="73"/>
        <v/>
      </c>
      <c r="G168" s="6" t="str">
        <f t="shared" si="74"/>
        <v/>
      </c>
      <c r="H168" s="23"/>
      <c r="I168" s="24"/>
      <c r="K168" s="39">
        <v>44682</v>
      </c>
      <c r="L168" s="40">
        <f t="shared" si="76"/>
        <v>200000</v>
      </c>
    </row>
    <row r="169" spans="2:14">
      <c r="B169" s="14"/>
      <c r="C169" s="16"/>
      <c r="D169" s="18"/>
      <c r="E169" s="18"/>
      <c r="F169" s="9" t="str">
        <f t="shared" si="73"/>
        <v/>
      </c>
      <c r="G169" s="6" t="str">
        <f t="shared" si="74"/>
        <v/>
      </c>
      <c r="H169" s="23"/>
      <c r="I169" s="24"/>
      <c r="K169" s="39">
        <v>44713</v>
      </c>
      <c r="L169" s="40">
        <f t="shared" si="76"/>
        <v>200000</v>
      </c>
    </row>
    <row r="170" spans="2:14">
      <c r="B170" s="14"/>
      <c r="C170" s="16"/>
      <c r="D170" s="18"/>
      <c r="E170" s="18"/>
      <c r="F170" s="9" t="str">
        <f t="shared" si="73"/>
        <v/>
      </c>
      <c r="G170" s="6" t="str">
        <f t="shared" si="74"/>
        <v/>
      </c>
      <c r="H170" s="23"/>
      <c r="I170" s="24"/>
      <c r="K170" s="39">
        <v>44743</v>
      </c>
      <c r="L170" s="40">
        <f t="shared" si="76"/>
        <v>200000</v>
      </c>
    </row>
    <row r="171" spans="2:14">
      <c r="B171" s="14"/>
      <c r="C171" s="16"/>
      <c r="D171" s="18"/>
      <c r="E171" s="18"/>
      <c r="F171" s="9" t="str">
        <f t="shared" si="73"/>
        <v/>
      </c>
      <c r="G171" s="6" t="str">
        <f t="shared" si="74"/>
        <v/>
      </c>
      <c r="H171" s="23"/>
      <c r="I171" s="24"/>
      <c r="K171" s="39">
        <v>44774</v>
      </c>
      <c r="L171" s="40">
        <f t="shared" si="76"/>
        <v>200000</v>
      </c>
    </row>
    <row r="172" spans="2:14">
      <c r="B172" s="14"/>
      <c r="C172" s="16"/>
      <c r="D172" s="18"/>
      <c r="E172" s="18"/>
      <c r="F172" s="9" t="str">
        <f t="shared" si="73"/>
        <v/>
      </c>
      <c r="G172" s="6" t="str">
        <f t="shared" si="74"/>
        <v/>
      </c>
      <c r="H172" s="23"/>
      <c r="I172" s="24"/>
      <c r="K172" s="39">
        <v>44805</v>
      </c>
      <c r="L172" s="40">
        <f t="shared" si="76"/>
        <v>200000</v>
      </c>
    </row>
    <row r="173" spans="2:14">
      <c r="B173" s="14"/>
      <c r="C173" s="16"/>
      <c r="D173" s="18"/>
      <c r="E173" s="18"/>
      <c r="F173" s="9" t="str">
        <f t="shared" si="73"/>
        <v/>
      </c>
      <c r="G173" s="6" t="str">
        <f t="shared" si="74"/>
        <v/>
      </c>
      <c r="H173" s="23"/>
      <c r="I173" s="24"/>
      <c r="K173" s="39">
        <v>44835</v>
      </c>
      <c r="L173" s="40">
        <f t="shared" si="76"/>
        <v>200000</v>
      </c>
    </row>
    <row r="174" spans="2:14">
      <c r="B174" s="14"/>
      <c r="C174" s="16"/>
      <c r="D174" s="18"/>
      <c r="E174" s="18"/>
      <c r="F174" s="9" t="str">
        <f t="shared" si="73"/>
        <v/>
      </c>
      <c r="G174" s="6" t="str">
        <f t="shared" si="74"/>
        <v/>
      </c>
      <c r="H174" s="23"/>
      <c r="I174" s="24"/>
      <c r="K174" s="39">
        <v>44866</v>
      </c>
      <c r="L174" s="40">
        <f t="shared" si="76"/>
        <v>200000</v>
      </c>
    </row>
    <row r="175" spans="2:14">
      <c r="B175" s="14"/>
      <c r="C175" s="16"/>
      <c r="D175" s="18"/>
      <c r="E175" s="18"/>
      <c r="F175" s="9" t="str">
        <f t="shared" si="73"/>
        <v/>
      </c>
      <c r="G175" s="6" t="str">
        <f t="shared" si="74"/>
        <v/>
      </c>
      <c r="H175" s="23"/>
      <c r="I175" s="24"/>
      <c r="K175" s="39">
        <v>44896</v>
      </c>
      <c r="L175" s="40">
        <f t="shared" si="76"/>
        <v>200000</v>
      </c>
    </row>
    <row r="176" spans="2:14">
      <c r="B176" s="14"/>
      <c r="C176" s="16"/>
      <c r="D176" s="18"/>
      <c r="E176" s="18"/>
      <c r="F176" s="9" t="str">
        <f t="shared" si="73"/>
        <v/>
      </c>
      <c r="G176" s="6" t="str">
        <f t="shared" si="74"/>
        <v/>
      </c>
      <c r="H176" s="23"/>
      <c r="I176" s="24"/>
      <c r="K176" s="39">
        <v>44927</v>
      </c>
      <c r="L176" s="40">
        <f t="shared" si="76"/>
        <v>200000</v>
      </c>
    </row>
    <row r="177" spans="2:9">
      <c r="B177" s="14"/>
      <c r="C177" s="16"/>
      <c r="D177" s="18"/>
      <c r="E177" s="18"/>
      <c r="F177" s="9" t="str">
        <f t="shared" si="73"/>
        <v/>
      </c>
      <c r="G177" s="6" t="str">
        <f t="shared" si="74"/>
        <v/>
      </c>
      <c r="H177" s="23"/>
      <c r="I177" s="24"/>
    </row>
    <row r="178" spans="2:9">
      <c r="B178" s="14"/>
      <c r="C178" s="16"/>
      <c r="D178" s="18"/>
      <c r="E178" s="18"/>
      <c r="F178" s="9" t="str">
        <f t="shared" si="73"/>
        <v/>
      </c>
      <c r="G178" s="6" t="str">
        <f t="shared" si="74"/>
        <v/>
      </c>
      <c r="H178" s="23"/>
      <c r="I178" s="24"/>
    </row>
    <row r="179" spans="2:9">
      <c r="B179" s="14"/>
      <c r="C179" s="16"/>
      <c r="D179" s="18"/>
      <c r="E179" s="18"/>
      <c r="F179" s="9" t="str">
        <f t="shared" si="73"/>
        <v/>
      </c>
      <c r="G179" s="6" t="str">
        <f t="shared" si="74"/>
        <v/>
      </c>
      <c r="H179" s="23"/>
      <c r="I179" s="24"/>
    </row>
    <row r="180" spans="2:9">
      <c r="B180" s="14"/>
      <c r="C180" s="16"/>
      <c r="D180" s="18"/>
      <c r="E180" s="18"/>
      <c r="F180" s="9" t="str">
        <f t="shared" si="73"/>
        <v/>
      </c>
      <c r="G180" s="6" t="str">
        <f t="shared" si="74"/>
        <v/>
      </c>
      <c r="H180" s="23"/>
      <c r="I180" s="24"/>
    </row>
    <row r="181" spans="2:9">
      <c r="B181" s="14"/>
      <c r="C181" s="16"/>
      <c r="D181" s="18"/>
      <c r="E181" s="18"/>
      <c r="F181" s="9" t="str">
        <f t="shared" si="73"/>
        <v/>
      </c>
      <c r="G181" s="6" t="str">
        <f t="shared" si="74"/>
        <v/>
      </c>
      <c r="H181" s="23"/>
      <c r="I181" s="24"/>
    </row>
    <row r="182" spans="2:9">
      <c r="B182" s="14"/>
      <c r="C182" s="16"/>
      <c r="D182" s="18"/>
      <c r="E182" s="18"/>
      <c r="F182" s="9" t="str">
        <f t="shared" si="73"/>
        <v/>
      </c>
      <c r="G182" s="6" t="str">
        <f t="shared" si="74"/>
        <v/>
      </c>
      <c r="H182" s="23"/>
      <c r="I182" s="24"/>
    </row>
    <row r="183" spans="2:9">
      <c r="B183" s="14"/>
      <c r="C183" s="16"/>
      <c r="D183" s="18"/>
      <c r="E183" s="18"/>
      <c r="F183" s="9" t="str">
        <f t="shared" si="73"/>
        <v/>
      </c>
      <c r="G183" s="6" t="str">
        <f t="shared" si="74"/>
        <v/>
      </c>
      <c r="H183" s="23"/>
      <c r="I183" s="24"/>
    </row>
    <row r="184" spans="2:9" ht="15.75" thickBot="1">
      <c r="B184" s="15"/>
      <c r="C184" s="17"/>
      <c r="D184" s="19"/>
      <c r="E184" s="19"/>
      <c r="F184" s="10"/>
      <c r="G184" s="7"/>
      <c r="H184" s="25"/>
      <c r="I184" s="26"/>
    </row>
  </sheetData>
  <mergeCells count="4">
    <mergeCell ref="F7:G7"/>
    <mergeCell ref="D7:E7"/>
    <mergeCell ref="K6:L6"/>
    <mergeCell ref="N6:Q6"/>
  </mergeCells>
  <pageMargins left="0.7" right="0.7" top="0.75" bottom="0.75" header="0.3" footer="0.3"/>
  <pageSetup scale="1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65"/>
  <sheetViews>
    <sheetView showGridLines="0" zoomScale="130" zoomScaleNormal="130" workbookViewId="0">
      <selection activeCell="G64" sqref="G64"/>
    </sheetView>
  </sheetViews>
  <sheetFormatPr baseColWidth="10" defaultRowHeight="15"/>
  <cols>
    <col min="4" max="4" width="75.85546875" customWidth="1"/>
    <col min="5" max="5" width="5.28515625" bestFit="1" customWidth="1"/>
    <col min="6" max="6" width="8.7109375" style="52" bestFit="1" customWidth="1"/>
  </cols>
  <sheetData>
    <row r="6" spans="4:7">
      <c r="D6" s="59" t="s">
        <v>102</v>
      </c>
      <c r="E6" s="59"/>
      <c r="F6" s="59"/>
      <c r="G6" s="59"/>
    </row>
    <row r="7" spans="4:7">
      <c r="G7" s="2" t="s">
        <v>90</v>
      </c>
    </row>
    <row r="8" spans="4:7">
      <c r="E8" s="29" t="s">
        <v>89</v>
      </c>
      <c r="F8" s="60"/>
      <c r="G8" s="61">
        <v>44651</v>
      </c>
    </row>
    <row r="9" spans="4:7">
      <c r="D9" s="44" t="s">
        <v>87</v>
      </c>
    </row>
    <row r="10" spans="4:7">
      <c r="D10" s="45" t="s">
        <v>88</v>
      </c>
    </row>
    <row r="11" spans="4:7">
      <c r="D11" s="46" t="s">
        <v>59</v>
      </c>
      <c r="G11" s="20">
        <f>+F12</f>
        <v>0</v>
      </c>
    </row>
    <row r="12" spans="4:7">
      <c r="D12" s="49" t="str">
        <f>+'Libro Diario'!L9</f>
        <v>Banco</v>
      </c>
      <c r="F12" s="53">
        <f>+'Libro Diario'!P9</f>
        <v>0</v>
      </c>
    </row>
    <row r="13" spans="4:7">
      <c r="D13" s="46" t="s">
        <v>60</v>
      </c>
      <c r="G13" s="20">
        <f>+F14</f>
        <v>2000000</v>
      </c>
    </row>
    <row r="14" spans="4:7">
      <c r="D14" s="49" t="str">
        <f>+'Libro Diario'!L12</f>
        <v>Arriendo Bodega Pagada Anticipadamente</v>
      </c>
      <c r="F14" s="53">
        <f>+'Libro Diario'!P12</f>
        <v>2000000</v>
      </c>
    </row>
    <row r="15" spans="4:7">
      <c r="D15" s="46" t="s">
        <v>61</v>
      </c>
      <c r="G15" s="20">
        <f>SUM(F16:F18)</f>
        <v>12398674.06722689</v>
      </c>
    </row>
    <row r="16" spans="4:7">
      <c r="D16" s="49" t="str">
        <f>+'Libro Diario'!L15</f>
        <v>Clientes</v>
      </c>
      <c r="F16" s="53">
        <f>+'Libro Diario'!P15</f>
        <v>9924200</v>
      </c>
    </row>
    <row r="17" spans="4:7">
      <c r="D17" s="49" t="str">
        <f>+'Libro Diario'!L22</f>
        <v>Deterioro Ac. Clientes</v>
      </c>
      <c r="F17" s="53">
        <f>-'Libro Diario'!Q22</f>
        <v>-694694.00000000012</v>
      </c>
    </row>
    <row r="18" spans="4:7">
      <c r="D18" s="49" t="str">
        <f>+'Libro Diario'!L13</f>
        <v>IVA CF</v>
      </c>
      <c r="F18" s="53">
        <f>+'Libro Diario'!P13</f>
        <v>3169168.0672268909</v>
      </c>
    </row>
    <row r="19" spans="4:7">
      <c r="D19" s="46" t="s">
        <v>62</v>
      </c>
      <c r="G19" s="20">
        <f>+F20</f>
        <v>1500000</v>
      </c>
    </row>
    <row r="20" spans="4:7">
      <c r="D20" s="49" t="str">
        <f>+'Libro Diario'!L14</f>
        <v>Mercaderías</v>
      </c>
      <c r="F20" s="53">
        <f>+'Libro Diario'!P14</f>
        <v>1500000</v>
      </c>
    </row>
    <row r="21" spans="4:7">
      <c r="D21" s="46" t="s">
        <v>63</v>
      </c>
      <c r="G21" s="20">
        <f>SUM(G11:G20)</f>
        <v>15898674.06722689</v>
      </c>
    </row>
    <row r="22" spans="4:7">
      <c r="D22" s="45" t="s">
        <v>91</v>
      </c>
    </row>
    <row r="23" spans="4:7">
      <c r="D23" s="46" t="s">
        <v>64</v>
      </c>
      <c r="G23" s="20">
        <f>+F24</f>
        <v>300000</v>
      </c>
    </row>
    <row r="24" spans="4:7">
      <c r="D24" s="49" t="str">
        <f>+'Libro Diario'!L16</f>
        <v>Garantía arriendo oficina</v>
      </c>
      <c r="F24" s="53">
        <f>+'Libro Diario'!P16</f>
        <v>300000</v>
      </c>
    </row>
    <row r="25" spans="4:7">
      <c r="D25" s="46" t="s">
        <v>65</v>
      </c>
      <c r="G25" s="20">
        <f>SUM(F26:F28)</f>
        <v>4306250</v>
      </c>
    </row>
    <row r="26" spans="4:7">
      <c r="D26" s="49" t="str">
        <f>+'Libro Diario'!L17</f>
        <v>Página web</v>
      </c>
      <c r="F26" s="53">
        <f>+'Libro Diario'!P17</f>
        <v>2250000</v>
      </c>
    </row>
    <row r="27" spans="4:7">
      <c r="D27" s="49" t="str">
        <f>+'Libro Diario'!L18</f>
        <v>Marca comercial</v>
      </c>
      <c r="F27" s="53">
        <f>+'Libro Diario'!P18</f>
        <v>2150000</v>
      </c>
    </row>
    <row r="28" spans="4:7">
      <c r="D28" s="49" t="str">
        <f>+'Libro Diario'!L21</f>
        <v>Amortización Ac. página web</v>
      </c>
      <c r="F28" s="53">
        <f>-'Libro Diario'!Q21</f>
        <v>-93750</v>
      </c>
    </row>
    <row r="29" spans="4:7">
      <c r="D29" s="46" t="s">
        <v>66</v>
      </c>
      <c r="G29" s="20">
        <f>SUM(F30:F33)</f>
        <v>13226250</v>
      </c>
    </row>
    <row r="30" spans="4:7">
      <c r="D30" s="49" t="str">
        <f>+'Libro Diario'!L10</f>
        <v>Equipos computacionales</v>
      </c>
      <c r="F30" s="53">
        <f>+'Libro Diario'!P10</f>
        <v>600000</v>
      </c>
    </row>
    <row r="31" spans="4:7">
      <c r="D31" s="49" t="str">
        <f>+'Libro Diario'!L11</f>
        <v>Vehículos</v>
      </c>
      <c r="F31" s="53">
        <f>+'Libro Diario'!P11</f>
        <v>13050000</v>
      </c>
    </row>
    <row r="32" spans="4:7">
      <c r="D32" s="49" t="str">
        <f>+'Libro Diario'!L19</f>
        <v>Depreciación Ac. equipos computacionales</v>
      </c>
      <c r="F32" s="53">
        <f>-'Libro Diario'!Q19</f>
        <v>-50000</v>
      </c>
    </row>
    <row r="33" spans="4:7">
      <c r="D33" s="49" t="str">
        <f>+'Libro Diario'!L20</f>
        <v>Depreciación Ac. vehículos</v>
      </c>
      <c r="F33" s="53">
        <f>-'Libro Diario'!Q20</f>
        <v>-373749.99999999994</v>
      </c>
    </row>
    <row r="34" spans="4:7">
      <c r="D34" s="46" t="s">
        <v>67</v>
      </c>
      <c r="G34" s="20">
        <f>SUM(G23:G33)</f>
        <v>17832500</v>
      </c>
    </row>
    <row r="35" spans="4:7">
      <c r="D35" s="56" t="s">
        <v>68</v>
      </c>
      <c r="E35" s="34"/>
      <c r="F35" s="57"/>
      <c r="G35" s="58">
        <f>+G34+G21</f>
        <v>33731174.067226887</v>
      </c>
    </row>
    <row r="36" spans="4:7">
      <c r="D36" s="44" t="s">
        <v>92</v>
      </c>
    </row>
    <row r="37" spans="4:7">
      <c r="D37" s="45" t="s">
        <v>93</v>
      </c>
    </row>
    <row r="38" spans="4:7">
      <c r="D38" s="46" t="s">
        <v>94</v>
      </c>
    </row>
    <row r="39" spans="4:7">
      <c r="D39" s="47" t="s">
        <v>69</v>
      </c>
      <c r="G39" s="20">
        <f>+F40</f>
        <v>2317250</v>
      </c>
    </row>
    <row r="40" spans="4:7">
      <c r="D40" s="54" t="str">
        <f>+'Libro Diario'!L31</f>
        <v>Línea de crédito bancaria</v>
      </c>
      <c r="F40" s="53">
        <f>+'Libro Diario'!Q31</f>
        <v>2317250</v>
      </c>
    </row>
    <row r="41" spans="4:7">
      <c r="D41" s="47" t="s">
        <v>70</v>
      </c>
      <c r="G41" s="20">
        <f>SUM(F42:F47)</f>
        <v>2725950</v>
      </c>
    </row>
    <row r="42" spans="4:7">
      <c r="D42" s="54" t="str">
        <f>+'Libro Diario'!L25</f>
        <v>Acreedores</v>
      </c>
      <c r="F42" s="53">
        <f>+'Libro Diario'!Q25</f>
        <v>0</v>
      </c>
    </row>
    <row r="43" spans="4:7">
      <c r="D43" s="54" t="str">
        <f>+'Libro Diario'!L26</f>
        <v>IVA DF</v>
      </c>
      <c r="F43" s="53">
        <f>+'Libro Diario'!Q26</f>
        <v>1744200</v>
      </c>
    </row>
    <row r="44" spans="4:7">
      <c r="D44" s="54" t="str">
        <f>+'Libro Diario'!L27</f>
        <v>Proveedores</v>
      </c>
      <c r="F44" s="53">
        <f>+'Libro Diario'!Q27</f>
        <v>0</v>
      </c>
    </row>
    <row r="45" spans="4:7">
      <c r="D45" s="54" t="str">
        <f>+'Libro Diario'!L28</f>
        <v>Anticipo de clientes</v>
      </c>
      <c r="F45" s="53">
        <f>+'Libro Diario'!Q28</f>
        <v>0</v>
      </c>
    </row>
    <row r="46" spans="4:7">
      <c r="D46" s="54" t="str">
        <f>+'Libro Diario'!L29</f>
        <v>Documentos por pagar - 30 días</v>
      </c>
      <c r="F46" s="53">
        <f>+'Libro Diario'!Q29</f>
        <v>0</v>
      </c>
    </row>
    <row r="47" spans="4:7">
      <c r="D47" s="54" t="str">
        <f>+'Libro Diario'!L30</f>
        <v>Documentos por pagar - 60 días</v>
      </c>
      <c r="F47" s="53">
        <f>+'Libro Diario'!Q30</f>
        <v>981750</v>
      </c>
    </row>
    <row r="48" spans="4:7">
      <c r="D48" s="47" t="s">
        <v>71</v>
      </c>
      <c r="G48" s="20">
        <f>+F49</f>
        <v>108550</v>
      </c>
    </row>
    <row r="49" spans="4:8">
      <c r="D49" s="54" t="str">
        <f>+'Libro Diario'!L32</f>
        <v>Provisión gasto consumo telefonía</v>
      </c>
      <c r="F49" s="53">
        <f>+'Libro Diario'!Q32</f>
        <v>108550</v>
      </c>
    </row>
    <row r="50" spans="4:8">
      <c r="D50" s="47" t="s">
        <v>72</v>
      </c>
      <c r="G50" s="20">
        <f>+G39+G41+G48</f>
        <v>5151750</v>
      </c>
    </row>
    <row r="51" spans="4:8">
      <c r="D51" s="46" t="s">
        <v>95</v>
      </c>
    </row>
    <row r="52" spans="4:8">
      <c r="D52" s="47" t="s">
        <v>73</v>
      </c>
      <c r="G52">
        <v>0</v>
      </c>
    </row>
    <row r="53" spans="4:8">
      <c r="D53" s="46" t="s">
        <v>74</v>
      </c>
      <c r="G53" s="20">
        <f>+G50+G52</f>
        <v>5151750</v>
      </c>
    </row>
    <row r="54" spans="4:8">
      <c r="D54" s="45" t="s">
        <v>8</v>
      </c>
    </row>
    <row r="55" spans="4:8">
      <c r="D55" s="46" t="s">
        <v>75</v>
      </c>
      <c r="G55" s="20">
        <f>SUM(F56:F58)</f>
        <v>30000000</v>
      </c>
    </row>
    <row r="56" spans="4:8">
      <c r="D56" s="49" t="str">
        <f>+'Libro Diario'!L37</f>
        <v>Capital</v>
      </c>
      <c r="F56" s="53">
        <f>+'Libro Diario'!Q37</f>
        <v>30000000</v>
      </c>
    </row>
    <row r="57" spans="4:8">
      <c r="D57" s="49" t="str">
        <f>+'Libro Diario'!L38</f>
        <v>Cuenta Obligada Socia 1</v>
      </c>
      <c r="F57" s="53">
        <f>-'Libro Diario'!P38</f>
        <v>0</v>
      </c>
    </row>
    <row r="58" spans="4:8">
      <c r="D58" s="49" t="str">
        <f>+'Libro Diario'!L39</f>
        <v>Cuenta Obligada Socia 2</v>
      </c>
      <c r="F58" s="53">
        <f>-'Libro Diario'!P39</f>
        <v>0</v>
      </c>
    </row>
    <row r="59" spans="4:8">
      <c r="D59" s="46" t="s">
        <v>76</v>
      </c>
      <c r="G59" s="20">
        <f>+F60</f>
        <v>-1420575.9327731095</v>
      </c>
    </row>
    <row r="60" spans="4:8">
      <c r="D60" s="49" t="s">
        <v>96</v>
      </c>
      <c r="F60" s="53">
        <f>+'Estado Resultado por Función'!G27</f>
        <v>-1420575.9327731095</v>
      </c>
    </row>
    <row r="61" spans="4:8">
      <c r="D61" s="46" t="s">
        <v>77</v>
      </c>
      <c r="G61" s="20">
        <f>+G55+G59</f>
        <v>28579424.06722689</v>
      </c>
    </row>
    <row r="62" spans="4:8">
      <c r="D62" s="56" t="s">
        <v>78</v>
      </c>
      <c r="E62" s="34"/>
      <c r="F62" s="57"/>
      <c r="G62" s="58">
        <f>+G61+G53</f>
        <v>33731174.067226887</v>
      </c>
    </row>
    <row r="64" spans="4:8">
      <c r="D64" t="s">
        <v>100</v>
      </c>
      <c r="G64" s="20">
        <f>+G35-G62</f>
        <v>0</v>
      </c>
      <c r="H64" t="s">
        <v>101</v>
      </c>
    </row>
    <row r="65" spans="7:7">
      <c r="G65" s="20"/>
    </row>
  </sheetData>
  <mergeCells count="1">
    <mergeCell ref="D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G27"/>
  <sheetViews>
    <sheetView showGridLines="0" topLeftCell="A4" zoomScale="160" zoomScaleNormal="160" workbookViewId="0">
      <selection activeCell="B13" sqref="B13"/>
    </sheetView>
  </sheetViews>
  <sheetFormatPr baseColWidth="10" defaultRowHeight="15"/>
  <cols>
    <col min="4" max="4" width="68.28515625" customWidth="1"/>
    <col min="6" max="6" width="11.42578125" style="50"/>
  </cols>
  <sheetData>
    <row r="4" spans="4:7">
      <c r="D4" s="59" t="s">
        <v>103</v>
      </c>
      <c r="E4" s="59"/>
      <c r="F4" s="59"/>
      <c r="G4" s="59"/>
    </row>
    <row r="6" spans="4:7">
      <c r="G6" s="2" t="s">
        <v>99</v>
      </c>
    </row>
    <row r="7" spans="4:7">
      <c r="G7" s="48">
        <v>44562</v>
      </c>
    </row>
    <row r="8" spans="4:7">
      <c r="E8" s="29" t="s">
        <v>89</v>
      </c>
      <c r="F8" s="62"/>
      <c r="G8" s="61">
        <v>44651</v>
      </c>
    </row>
    <row r="9" spans="4:7">
      <c r="D9" s="43" t="s">
        <v>97</v>
      </c>
    </row>
    <row r="10" spans="4:7">
      <c r="D10" s="44" t="s">
        <v>98</v>
      </c>
    </row>
    <row r="11" spans="4:7">
      <c r="D11" s="45" t="s">
        <v>79</v>
      </c>
      <c r="G11" s="20">
        <f>+F12</f>
        <v>9180000</v>
      </c>
    </row>
    <row r="12" spans="4:7">
      <c r="D12" s="55" t="str">
        <f>+'Libro Diario'!L42</f>
        <v>Ingresos por venta</v>
      </c>
      <c r="F12" s="51">
        <f>+'Libro Diario'!Q42</f>
        <v>9180000</v>
      </c>
    </row>
    <row r="13" spans="4:7">
      <c r="D13" s="45" t="s">
        <v>80</v>
      </c>
      <c r="G13" s="20">
        <f>+F14</f>
        <v>-8500000</v>
      </c>
    </row>
    <row r="14" spans="4:7">
      <c r="D14" s="55" t="str">
        <f>+'Libro Diario'!L47</f>
        <v>Costo de Ventas</v>
      </c>
      <c r="F14" s="51">
        <f>-'Libro Diario'!P47</f>
        <v>-8500000</v>
      </c>
    </row>
    <row r="15" spans="4:7">
      <c r="D15" s="45" t="s">
        <v>81</v>
      </c>
      <c r="G15" s="20">
        <f>+G11+G13</f>
        <v>680000</v>
      </c>
    </row>
    <row r="16" spans="4:7">
      <c r="D16" s="45" t="s">
        <v>82</v>
      </c>
      <c r="G16" s="20">
        <f>+F17</f>
        <v>-400000</v>
      </c>
    </row>
    <row r="17" spans="4:7">
      <c r="D17" s="55" t="str">
        <f>+'Libro Diario'!L53</f>
        <v>Gasto Arriendo Bodega</v>
      </c>
      <c r="F17" s="51">
        <f>-'Libro Diario'!P53</f>
        <v>-400000</v>
      </c>
    </row>
    <row r="18" spans="4:7">
      <c r="D18" s="45" t="s">
        <v>83</v>
      </c>
      <c r="G18" s="20">
        <f>SUM(F19:F24)</f>
        <v>-1700575.9327731095</v>
      </c>
    </row>
    <row r="19" spans="4:7">
      <c r="D19" s="55" t="str">
        <f>+'Libro Diario'!L46</f>
        <v>Gasto por arriendo oficina</v>
      </c>
      <c r="F19" s="51">
        <f>-'Libro Diario'!P46</f>
        <v>-300000</v>
      </c>
    </row>
    <row r="20" spans="4:7">
      <c r="D20" s="55" t="str">
        <f>+'Libro Diario'!L48</f>
        <v>Gasto por consumo telefonía</v>
      </c>
      <c r="F20" s="51">
        <f>-'Libro Diario'!P48</f>
        <v>-188381.93277310923</v>
      </c>
    </row>
    <row r="21" spans="4:7">
      <c r="D21" s="55" t="str">
        <f>+'Libro Diario'!L49</f>
        <v>Depreciación equipos computacionales</v>
      </c>
      <c r="F21" s="51">
        <f>-'Libro Diario'!P49</f>
        <v>-50000</v>
      </c>
    </row>
    <row r="22" spans="4:7">
      <c r="D22" s="55" t="str">
        <f>+'Libro Diario'!L50</f>
        <v>Depreciación vehículos</v>
      </c>
      <c r="F22" s="51">
        <f>-'Libro Diario'!P50</f>
        <v>-373749.99999999994</v>
      </c>
    </row>
    <row r="23" spans="4:7">
      <c r="D23" s="55" t="str">
        <f>+'Libro Diario'!L51</f>
        <v>Amortización página web</v>
      </c>
      <c r="F23" s="51">
        <f>-'Libro Diario'!P51</f>
        <v>-93750</v>
      </c>
    </row>
    <row r="24" spans="4:7">
      <c r="D24" s="55" t="str">
        <f>+'Libro Diario'!L52</f>
        <v>Deterioro Clientes</v>
      </c>
      <c r="F24" s="51">
        <f>-'Libro Diario'!P52</f>
        <v>-694694.00000000012</v>
      </c>
    </row>
    <row r="25" spans="4:7">
      <c r="D25" s="45" t="s">
        <v>84</v>
      </c>
      <c r="G25" s="20">
        <f>SUM(G15:G18)</f>
        <v>-1420575.9327731095</v>
      </c>
    </row>
    <row r="26" spans="4:7">
      <c r="D26" s="45" t="s">
        <v>85</v>
      </c>
    </row>
    <row r="27" spans="4:7">
      <c r="D27" s="45" t="s">
        <v>86</v>
      </c>
      <c r="G27" s="20">
        <f>+G25</f>
        <v>-1420575.9327731095</v>
      </c>
    </row>
  </sheetData>
  <mergeCells count="1">
    <mergeCell ref="D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Libro Diario</vt:lpstr>
      <vt:lpstr>Balance Clasificado</vt:lpstr>
      <vt:lpstr>Estado Resultado por Función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2022-06-18T17:51:00Z</dcterms:modified>
</cp:coreProperties>
</file>