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uis jara\Dropbox\02.- DOCENCIA\CLASES PREGRADO\USACH\PEP\"/>
    </mc:Choice>
  </mc:AlternateContent>
  <bookViews>
    <workbookView xWindow="0" yWindow="0" windowWidth="28800" windowHeight="12330"/>
  </bookViews>
  <sheets>
    <sheet name="Ejercicio 1" sheetId="9" r:id="rId1"/>
    <sheet name="Ejercicio 2" sheetId="7" r:id="rId2"/>
    <sheet name="Ejercicio 3" sheetId="10" r:id="rId3"/>
    <sheet name="Ejercicio 4" sheetId="6" r:id="rId4"/>
    <sheet name="Ejercicio 5" sheetId="8" r:id="rId5"/>
  </sheets>
  <definedNames>
    <definedName name="_xlnm.Print_Area" localSheetId="0">'Ejercicio 1'!$A$2:$E$20</definedName>
    <definedName name="_xlnm.Print_Area" localSheetId="1">'Ejercicio 2'!$A$2:$F$11</definedName>
    <definedName name="_xlnm.Print_Area" localSheetId="2">'Ejercicio 3'!$A$1:$N$81</definedName>
    <definedName name="_xlnm.Print_Area" localSheetId="3">'Ejercicio 4'!$A$2:$H$51</definedName>
    <definedName name="_xlnm.Print_Area" localSheetId="4">'Ejercicio 5'!$A$2:$N$18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1" i="10" l="1"/>
  <c r="F75" i="10"/>
  <c r="F74" i="10" s="1"/>
  <c r="F70" i="10"/>
  <c r="E65" i="10"/>
  <c r="F66" i="10" s="1"/>
  <c r="E60" i="10"/>
  <c r="E61" i="10" s="1"/>
  <c r="E56" i="10"/>
  <c r="F57" i="10" s="1"/>
  <c r="M53" i="10"/>
  <c r="M54" i="10" s="1"/>
  <c r="E51" i="10"/>
  <c r="L51" i="10" s="1"/>
  <c r="L52" i="10" s="1"/>
  <c r="E47" i="10"/>
  <c r="F48" i="10" s="1"/>
  <c r="C47" i="10"/>
  <c r="E42" i="10"/>
  <c r="E43" i="10" s="1"/>
  <c r="E37" i="10"/>
  <c r="L42" i="10" s="1"/>
  <c r="L29" i="10"/>
  <c r="M30" i="10" s="1"/>
  <c r="E29" i="10"/>
  <c r="F30" i="10" s="1"/>
  <c r="E33" i="10" s="1"/>
  <c r="F34" i="10" s="1"/>
  <c r="F25" i="10"/>
  <c r="F21" i="10"/>
  <c r="M20" i="10"/>
  <c r="F20" i="10"/>
  <c r="F9" i="10"/>
  <c r="E52" i="10" l="1"/>
  <c r="L63" i="10"/>
  <c r="L64" i="10" s="1"/>
  <c r="M65" i="10" s="1"/>
  <c r="L43" i="10"/>
  <c r="M44" i="10" s="1"/>
  <c r="E38" i="10"/>
  <c r="K73" i="10"/>
  <c r="K74" i="10" s="1"/>
  <c r="E78" i="10" s="1"/>
  <c r="F79" i="10" s="1"/>
  <c r="D20" i="9"/>
  <c r="F51" i="6"/>
  <c r="E11" i="7"/>
  <c r="M18" i="8"/>
  <c r="G9" i="8"/>
  <c r="G10" i="8" s="1"/>
  <c r="G11" i="8" s="1"/>
  <c r="G12" i="8" s="1"/>
  <c r="G13" i="8" s="1"/>
  <c r="G14" i="8" s="1"/>
  <c r="G15" i="8" s="1"/>
  <c r="G16" i="8" s="1"/>
  <c r="G17" i="8" s="1"/>
  <c r="J9" i="8"/>
  <c r="L9" i="8" s="1"/>
  <c r="L8" i="8"/>
  <c r="F16" i="8"/>
  <c r="D15" i="8"/>
  <c r="H15" i="8" s="1"/>
  <c r="H12" i="8"/>
  <c r="H10" i="8"/>
  <c r="D9" i="8"/>
  <c r="H9" i="8" s="1"/>
  <c r="J10" i="8" l="1"/>
  <c r="L10" i="8"/>
  <c r="K11" i="8" l="1"/>
  <c r="I11" i="8"/>
  <c r="J11" i="8" s="1"/>
  <c r="J12" i="8" l="1"/>
  <c r="L11" i="8"/>
  <c r="L12" i="8" l="1"/>
  <c r="I13" i="8" l="1"/>
  <c r="J13" i="8" s="1"/>
  <c r="K13" i="8"/>
  <c r="L13" i="8" l="1"/>
  <c r="H14" i="8" s="1"/>
  <c r="J14" i="8" s="1"/>
  <c r="J15" i="8" l="1"/>
  <c r="L14" i="8"/>
  <c r="L15" i="8" l="1"/>
  <c r="E30" i="6"/>
  <c r="E31" i="6" s="1"/>
  <c r="H5" i="6" s="1"/>
  <c r="H7" i="6" s="1"/>
  <c r="D23" i="6"/>
  <c r="G4" i="6"/>
  <c r="D41" i="6"/>
  <c r="E42" i="6" s="1"/>
  <c r="D35" i="6"/>
  <c r="D36" i="6" s="1"/>
  <c r="E37" i="6" s="1"/>
  <c r="D18" i="6"/>
  <c r="E19" i="6" s="1"/>
  <c r="E13" i="6"/>
  <c r="D6" i="6"/>
  <c r="G11" i="6"/>
  <c r="K16" i="8" l="1"/>
  <c r="I16" i="8"/>
  <c r="J16" i="8" s="1"/>
  <c r="D29" i="6"/>
  <c r="G12" i="6"/>
  <c r="G14" i="6" s="1"/>
  <c r="D24" i="6"/>
  <c r="E14" i="6"/>
  <c r="H12" i="6" s="1"/>
  <c r="H14" i="6" s="1"/>
  <c r="L16" i="8" l="1"/>
  <c r="J17" i="8"/>
  <c r="L17" i="8" s="1"/>
  <c r="H15" i="6"/>
  <c r="D47" i="6" s="1"/>
  <c r="E25" i="6"/>
  <c r="G6" i="6"/>
  <c r="D12" i="6"/>
  <c r="D7" i="6"/>
  <c r="E8" i="6" l="1"/>
  <c r="G5" i="6"/>
  <c r="G7" i="6" s="1"/>
  <c r="G8" i="6" s="1"/>
  <c r="E49" i="6" s="1"/>
  <c r="D48" i="6" s="1"/>
</calcChain>
</file>

<file path=xl/sharedStrings.xml><?xml version="1.0" encoding="utf-8"?>
<sst xmlns="http://schemas.openxmlformats.org/spreadsheetml/2006/main" count="245" uniqueCount="129">
  <si>
    <t>IVA Crédito Fiscal</t>
  </si>
  <si>
    <t>IVA Débito Fiscal</t>
  </si>
  <si>
    <t>LIBRO DIARIO</t>
  </si>
  <si>
    <t>Fecha: xx.xx.20xx</t>
  </si>
  <si>
    <t>DEBE</t>
  </si>
  <si>
    <t>HABER</t>
  </si>
  <si>
    <t>Mercaderías</t>
  </si>
  <si>
    <t>Proveedores</t>
  </si>
  <si>
    <t>Clientes</t>
  </si>
  <si>
    <t>Ventas</t>
  </si>
  <si>
    <t>Costo de Venta</t>
  </si>
  <si>
    <t>(Por la compra de mercaderías: 2.500 plumones a $500 -neto- cada uno)</t>
  </si>
  <si>
    <t>(Por venta de mercaderías, 2.000 plumones a un precio de venta unitario de $850 neto)</t>
  </si>
  <si>
    <t>(Por costo de ventas de 2.000 plumones a $500 -neto- cada uno)</t>
  </si>
  <si>
    <t>(Por devolución de ventas, 300 plumones a un precio de venta unitario de $850 neto)</t>
  </si>
  <si>
    <t>(Por devolución costo de ventas de 300 plumones a $500 -neto- cada uno)</t>
  </si>
  <si>
    <t>Costo de Ventas</t>
  </si>
  <si>
    <t>(Por la compra de mercaderías: 4.000 plumones a $500 -neto- cada uno)</t>
  </si>
  <si>
    <t>(Por la devolución de compra de mercaderías: 800 plumones a $500 -neto- cada uno)</t>
  </si>
  <si>
    <t>IVA Remanente</t>
  </si>
  <si>
    <t>(Por cierre de IVA, con IVA Remanente)</t>
  </si>
  <si>
    <t>Fecha: 15.04.2022</t>
  </si>
  <si>
    <t>Fecha: 17.04.2022</t>
  </si>
  <si>
    <t>Fecha: 20.04.2022</t>
  </si>
  <si>
    <t>Fecha: 25.04.2022</t>
  </si>
  <si>
    <t>Concepto del Marco Conceptual</t>
  </si>
  <si>
    <t>Situación</t>
  </si>
  <si>
    <t>Activo</t>
  </si>
  <si>
    <t>Devengo</t>
  </si>
  <si>
    <t>Medición</t>
  </si>
  <si>
    <t>Relevancia</t>
  </si>
  <si>
    <t>Ingresos</t>
  </si>
  <si>
    <t>Patrimonio</t>
  </si>
  <si>
    <t>Respuesta Sugerida</t>
  </si>
  <si>
    <t>Los dueños de una empresa aportan como capital $250.000.000 en dinero en efectivo. ¿Cuánto es el ingreso?</t>
  </si>
  <si>
    <t>Una empresa tiene activos por $87.600.000 y pasivos por $35.300.000. ¿Cuánto es el patrimonio? Justifique por qué es la cifra que señala en la respuesta.</t>
  </si>
  <si>
    <t>EJERCICIO 4 – CONTABILIZACIONES Y CÁLCULO DE IVA (1,2 puntos)</t>
  </si>
  <si>
    <t>Unidades Físicas</t>
  </si>
  <si>
    <t>Valores</t>
  </si>
  <si>
    <t>Control</t>
  </si>
  <si>
    <t>Fecha</t>
  </si>
  <si>
    <t>Detalle</t>
  </si>
  <si>
    <t>Entrada</t>
  </si>
  <si>
    <t>Salida</t>
  </si>
  <si>
    <t>Inventario inicial</t>
  </si>
  <si>
    <t>Compra</t>
  </si>
  <si>
    <t>Venta</t>
  </si>
  <si>
    <t>Emite nota de crédito</t>
  </si>
  <si>
    <t>Deterioro (castigo)</t>
  </si>
  <si>
    <t>EJERCICIO 5 – ELABORACIÓN DE TARJETA DE EXISTENCIAS (1,2 puntos)</t>
  </si>
  <si>
    <t>TARJETA DE EXISTENCIAS - MÉTODO PMP</t>
  </si>
  <si>
    <t>Precio Compra</t>
  </si>
  <si>
    <t>Precio Salida</t>
  </si>
  <si>
    <t>Saldo</t>
  </si>
  <si>
    <t>puntaje</t>
  </si>
  <si>
    <t>EJERCICIO 2 – APLICACIÓN PRÁCTICA DEL MARCO CONCEPTUAL (1,2 puntos)</t>
  </si>
  <si>
    <t>El activo es de $8.000.000 (8 meses, de mayo a diciembre) dado que representa el "beneficio económico futuro".</t>
  </si>
  <si>
    <t>No hay efecto al 31-03-2022, dado que la transacción no está devengada. 
No hay suceso pasado. 
El devengo indica que se contabilizan los hechos en los periodos que tienen lugar los hechos.</t>
  </si>
  <si>
    <t>El 23-02-2021, el costo histórico y el costo coriente es el mismo (precio de la transacción), $65.000.000, solo ese día. Luego el costo histórico se mantiene (no refleja cambio de valores) y el costo corriente si refleja el cambio de valores.</t>
  </si>
  <si>
    <t>Un pasivo (así como un activo, ingreso, gasto y patrimonio) es relevante, si es relevante para los usuarios de los estados financieros.</t>
  </si>
  <si>
    <t>No hay ingresos, dado que no son incrementos de activos o disminución de pasivos, distintos de los aportes de los dueños. 
En este caso es un aporte de los dueños.</t>
  </si>
  <si>
    <t>El patrimonio es $52.300.000 (87.600.000 - 35.300.000).
Porque el patrimonio es la parte residual de los activos, una vez deducidos los pasivos (activos menos pasivos).</t>
  </si>
  <si>
    <t>Una empresa ha pagado el 30-04-2022 un monto de $12.000.000 por el seguro de una oficina (no considerar IVA). 
El valor pagado corresponde al seguro de todo el año 2022 (considerando desde enero hasta diciembre del 2022). ¿Cuánto es el activo al 30-04-2022?</t>
  </si>
  <si>
    <t xml:space="preserve">El 31-03-2022, una empresa decide adquirir al crédito durante el mes de septiembre de 2022, una planta productiva en $125.000.000. ¿Qué efecto contable se genera al 31-03-2022? </t>
  </si>
  <si>
    <t xml:space="preserve">El 23-02-2021, una empresa adquiere en el mercado una máquina en $65.000.000 (neto). Señale el costo histórico y el costo corriente al 23-02-2021 </t>
  </si>
  <si>
    <t xml:space="preserve">El área de contabilidad de una empresa le presenta la siguiente duda: ¿un pasivo de $25.000.000 es relevante? De acuerdo con sus conocimientos, ¿cuál sería la respuesta adecuada? </t>
  </si>
  <si>
    <t>Alternativa Correcta</t>
  </si>
  <si>
    <t>N°</t>
  </si>
  <si>
    <t>EJERCICIO 1 – TEORÍA (1,2 puntos)</t>
  </si>
  <si>
    <t>A</t>
  </si>
  <si>
    <t>B</t>
  </si>
  <si>
    <t>C</t>
  </si>
  <si>
    <t>D</t>
  </si>
  <si>
    <t>Asiento Contable</t>
  </si>
  <si>
    <t>Debe</t>
  </si>
  <si>
    <t>Haber</t>
  </si>
  <si>
    <t>------------------------------1--------------------------------</t>
  </si>
  <si>
    <t>Cuenta Obligada Socio Nataniel R.</t>
  </si>
  <si>
    <t>Cuenta Obligada Socia Fernanda U.</t>
  </si>
  <si>
    <t>Capital</t>
  </si>
  <si>
    <t>** Opción de contabilización para los alumnos que aún no utilizan reconocimiento de Cuentas Obligadas.</t>
  </si>
  <si>
    <t>(Glosa: Suscripción Inicio de Actividades)</t>
  </si>
  <si>
    <t>------------------------------2--------------------------------</t>
  </si>
  <si>
    <t>------------------------------X--------------------------------</t>
  </si>
  <si>
    <t>Caja</t>
  </si>
  <si>
    <t>Mercaderias</t>
  </si>
  <si>
    <t>Vehiculo</t>
  </si>
  <si>
    <t>Maquinarias</t>
  </si>
  <si>
    <t>Muebles y Utiles</t>
  </si>
  <si>
    <t>Local Comercial</t>
  </si>
  <si>
    <t>Acreedores</t>
  </si>
  <si>
    <t>(Glosa: Aportes de Socios)</t>
  </si>
  <si>
    <t>------------------------------3--------------------------------</t>
  </si>
  <si>
    <t>Banco de Chile</t>
  </si>
  <si>
    <t>(Glosa: Apertura Cuenta Corriente)</t>
  </si>
  <si>
    <t>** Opción de contabilización para los alumnos que realizan reconocimiento de pago directo.</t>
  </si>
  <si>
    <t>------------------------------4--------------------------------</t>
  </si>
  <si>
    <t>Gastos de Publicidad / Gastos Generales</t>
  </si>
  <si>
    <t>Banco</t>
  </si>
  <si>
    <t>(Glosa: Gastos de Publicidad/Generales)</t>
  </si>
  <si>
    <t>(Glosa: Gastos de Publicidad)</t>
  </si>
  <si>
    <t>------------------------------5--------------------------------</t>
  </si>
  <si>
    <t>(Glosa: Pago Gastos de Publicidad/Generales)</t>
  </si>
  <si>
    <t>------------------------------6--------------------------------</t>
  </si>
  <si>
    <t>(Glosa: Compra de Mercaderias)</t>
  </si>
  <si>
    <t>** Considerar que en este caso puede que los alumnos consideren el Flete como parte de la misma compra.</t>
  </si>
  <si>
    <t>------------------------------7--------------------------------</t>
  </si>
  <si>
    <t>(Glosa: Compra de Flete para traslado de Mercaderias)</t>
  </si>
  <si>
    <t>(Glosa: Compra de Flete para traslado y Mercaderias)</t>
  </si>
  <si>
    <t>------------------------------8--------------------------------</t>
  </si>
  <si>
    <t>(Glosa: Pago de Compra y Fletes de Mercaderias)</t>
  </si>
  <si>
    <t>------------------------------9--------------------------------</t>
  </si>
  <si>
    <t>(Glosa: Compra de Maquinarias)</t>
  </si>
  <si>
    <t>------------------------------10--------------------------------</t>
  </si>
  <si>
    <t>(Glosa: Pago de Compra de Maquinarias)</t>
  </si>
  <si>
    <t>------------------------------11--------------------------------</t>
  </si>
  <si>
    <t>Gastos de Electricidad</t>
  </si>
  <si>
    <t>(Glosa: Gastos de Electricidad)</t>
  </si>
  <si>
    <t>------------------------------12--------------------------------</t>
  </si>
  <si>
    <t>(Glosa: Pago de Gastos de Electricidad)</t>
  </si>
  <si>
    <t>------------------------------13--------------------------------</t>
  </si>
  <si>
    <t>(Glosa: Pago Proveedores Pendientes)</t>
  </si>
  <si>
    <t>------------------------------14--------------------------------</t>
  </si>
  <si>
    <t>Total Mercaderias a la Fecha</t>
  </si>
  <si>
    <t>Total a Venta</t>
  </si>
  <si>
    <t>(Glosa: Venta de Mercaderias)</t>
  </si>
  <si>
    <t>------------------------------15--------------------------------</t>
  </si>
  <si>
    <t>(Glosa: Costo de Venta de Mercaderias)</t>
  </si>
  <si>
    <t>EJERCICIO 3 – ELABORACIÓN DEL LIBRO DIARIO, INICIO DE ACTIVIDADES Y TRANSACCIONES BÁSICAS (1,2 puntos)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</si>
</sst>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64" formatCode="_ * #,##0.00_ ;_ * \-#,##0.00_ ;_ * &quot;-&quot;_ ;_ @_ "/>
    <numFmt numFmtId="165" formatCode="#,##0_ ;[Red]\-#,##0\ "/>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2"/>
      <color rgb="FF000000"/>
      <name val="Calibri"/>
      <family val="2"/>
    </font>
    <font>
      <sz val="12"/>
      <color rgb="FF000000"/>
      <name val="Calibri"/>
      <family val="2"/>
    </font>
    <font>
      <b/>
      <sz val="12"/>
      <color theme="1"/>
      <name val="Calibri"/>
      <family val="2"/>
      <scheme val="minor"/>
    </font>
    <font>
      <b/>
      <i/>
      <sz val="11"/>
      <color rgb="FFFF0000"/>
      <name val="Calibri"/>
      <family val="2"/>
      <scheme val="minor"/>
    </font>
  </fonts>
  <fills count="3">
    <fill>
      <patternFill patternType="none"/>
    </fill>
    <fill>
      <patternFill patternType="gray125"/>
    </fill>
    <fill>
      <patternFill patternType="solid">
        <fgColor rgb="FFFFC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41" fontId="1" fillId="0" borderId="0" applyFont="0" applyFill="0" applyBorder="0" applyAlignment="0" applyProtection="0"/>
  </cellStyleXfs>
  <cellXfs count="77">
    <xf numFmtId="0" fontId="0" fillId="0" borderId="0" xfId="0"/>
    <xf numFmtId="41" fontId="0" fillId="0" borderId="0" xfId="0" applyNumberFormat="1"/>
    <xf numFmtId="0" fontId="2" fillId="0" borderId="1" xfId="0" applyFont="1" applyBorder="1" applyAlignment="1">
      <alignment horizontal="center" vertical="center"/>
    </xf>
    <xf numFmtId="0" fontId="2" fillId="0" borderId="3" xfId="0" applyFont="1" applyBorder="1"/>
    <xf numFmtId="0" fontId="2" fillId="0" borderId="5" xfId="0" applyFont="1" applyBorder="1"/>
    <xf numFmtId="0" fontId="0" fillId="0" borderId="0" xfId="0" applyFont="1"/>
    <xf numFmtId="0" fontId="0" fillId="0" borderId="2" xfId="0" applyFont="1" applyBorder="1"/>
    <xf numFmtId="0" fontId="0" fillId="0" borderId="4" xfId="0" applyFont="1" applyBorder="1"/>
    <xf numFmtId="0" fontId="0" fillId="0" borderId="3" xfId="0" applyFont="1" applyBorder="1"/>
    <xf numFmtId="0" fontId="0" fillId="0" borderId="5" xfId="0" applyFont="1" applyBorder="1"/>
    <xf numFmtId="41" fontId="1" fillId="0" borderId="6" xfId="1" applyFont="1" applyBorder="1" applyAlignment="1">
      <alignment horizontal="center" vertical="center"/>
    </xf>
    <xf numFmtId="41" fontId="0" fillId="0" borderId="0" xfId="0" applyNumberFormat="1" applyFont="1"/>
    <xf numFmtId="0" fontId="2" fillId="0" borderId="7" xfId="0" applyFont="1" applyBorder="1"/>
    <xf numFmtId="41" fontId="0" fillId="0" borderId="3" xfId="0" applyNumberFormat="1" applyBorder="1"/>
    <xf numFmtId="41" fontId="0" fillId="0" borderId="4" xfId="0" applyNumberFormat="1" applyBorder="1"/>
    <xf numFmtId="41" fontId="0" fillId="0" borderId="2" xfId="0" applyNumberFormat="1" applyBorder="1"/>
    <xf numFmtId="0" fontId="3" fillId="0" borderId="0" xfId="0" applyFont="1" applyAlignment="1">
      <alignment horizontal="right"/>
    </xf>
    <xf numFmtId="41" fontId="0" fillId="0" borderId="7" xfId="0" applyNumberFormat="1" applyBorder="1"/>
    <xf numFmtId="41" fontId="0" fillId="0" borderId="8" xfId="0" applyNumberFormat="1" applyBorder="1"/>
    <xf numFmtId="41" fontId="2" fillId="0" borderId="0" xfId="0" applyNumberFormat="1" applyFont="1"/>
    <xf numFmtId="41" fontId="2" fillId="0" borderId="2" xfId="0" applyNumberFormat="1" applyFont="1" applyBorder="1"/>
    <xf numFmtId="0" fontId="0" fillId="0" borderId="0" xfId="0" applyAlignment="1"/>
    <xf numFmtId="0" fontId="4" fillId="2" borderId="1" xfId="0" applyFont="1" applyFill="1" applyBorder="1" applyAlignment="1">
      <alignment horizontal="center" vertical="center" wrapText="1"/>
    </xf>
    <xf numFmtId="0" fontId="4" fillId="2" borderId="1" xfId="0" applyFont="1" applyFill="1" applyBorder="1" applyAlignment="1">
      <alignment vertical="center"/>
    </xf>
    <xf numFmtId="3" fontId="0" fillId="0" borderId="0" xfId="0" applyNumberFormat="1"/>
    <xf numFmtId="0" fontId="2" fillId="0" borderId="0" xfId="0" applyFont="1"/>
    <xf numFmtId="3" fontId="0" fillId="0" borderId="7" xfId="0" applyNumberFormat="1" applyBorder="1"/>
    <xf numFmtId="4" fontId="0" fillId="0" borderId="0" xfId="0" applyNumberFormat="1"/>
    <xf numFmtId="0" fontId="0" fillId="0" borderId="7" xfId="0" applyBorder="1"/>
    <xf numFmtId="0" fontId="0" fillId="0" borderId="1" xfId="0" applyBorder="1"/>
    <xf numFmtId="0" fontId="2" fillId="2" borderId="1" xfId="0" applyFont="1" applyFill="1" applyBorder="1" applyAlignment="1">
      <alignment horizontal="center" vertical="center"/>
    </xf>
    <xf numFmtId="14" fontId="0" fillId="0" borderId="1" xfId="0" applyNumberFormat="1" applyBorder="1"/>
    <xf numFmtId="41" fontId="0" fillId="0" borderId="1" xfId="1" applyFont="1" applyBorder="1"/>
    <xf numFmtId="164" fontId="0" fillId="0" borderId="1" xfId="1" applyNumberFormat="1" applyFont="1" applyBorder="1"/>
    <xf numFmtId="41" fontId="0" fillId="0" borderId="1" xfId="1" applyFont="1" applyBorder="1" applyAlignment="1">
      <alignment horizontal="center"/>
    </xf>
    <xf numFmtId="0" fontId="2" fillId="0" borderId="1" xfId="0" applyFont="1" applyBorder="1"/>
    <xf numFmtId="41" fontId="2" fillId="0" borderId="1" xfId="0" applyNumberFormat="1" applyFont="1" applyBorder="1"/>
    <xf numFmtId="164" fontId="2" fillId="0" borderId="1" xfId="0" applyNumberFormat="1" applyFont="1" applyBorder="1"/>
    <xf numFmtId="0" fontId="3" fillId="0" borderId="0" xfId="0" applyFont="1"/>
    <xf numFmtId="0" fontId="3" fillId="0" borderId="8" xfId="0" applyFont="1" applyBorder="1"/>
    <xf numFmtId="0" fontId="4" fillId="0" borderId="1" xfId="0" applyFont="1" applyBorder="1" applyAlignment="1">
      <alignment horizontal="left" vertical="top" wrapText="1"/>
    </xf>
    <xf numFmtId="0" fontId="5" fillId="0" borderId="1" xfId="0" applyFont="1" applyBorder="1" applyAlignment="1">
      <alignment horizontal="left" vertical="top"/>
    </xf>
    <xf numFmtId="0" fontId="5" fillId="0" borderId="1" xfId="0" applyFont="1" applyBorder="1" applyAlignment="1">
      <alignment horizontal="left" vertical="top" wrapText="1"/>
    </xf>
    <xf numFmtId="2" fontId="3" fillId="0" borderId="0" xfId="0" applyNumberFormat="1" applyFont="1"/>
    <xf numFmtId="0" fontId="0" fillId="0" borderId="8" xfId="0" applyBorder="1"/>
    <xf numFmtId="0" fontId="2" fillId="2" borderId="1" xfId="0" applyFont="1" applyFill="1" applyBorder="1"/>
    <xf numFmtId="0" fontId="0" fillId="0" borderId="1" xfId="0" applyBorder="1" applyAlignment="1">
      <alignment horizontal="center"/>
    </xf>
    <xf numFmtId="0" fontId="2" fillId="0" borderId="1" xfId="0" applyFont="1" applyBorder="1" applyAlignment="1">
      <alignment horizontal="center"/>
    </xf>
    <xf numFmtId="165" fontId="2" fillId="0" borderId="1" xfId="0" applyNumberFormat="1" applyFont="1" applyBorder="1" applyAlignment="1">
      <alignment horizontal="center"/>
    </xf>
    <xf numFmtId="14" fontId="2" fillId="0" borderId="9" xfId="0" applyNumberFormat="1" applyFont="1" applyBorder="1" applyAlignment="1">
      <alignment horizontal="center"/>
    </xf>
    <xf numFmtId="0" fontId="2" fillId="0" borderId="10" xfId="0" quotePrefix="1" applyFont="1" applyBorder="1"/>
    <xf numFmtId="0" fontId="0" fillId="0" borderId="11" xfId="0" applyBorder="1"/>
    <xf numFmtId="165" fontId="0" fillId="0" borderId="9" xfId="0" applyNumberFormat="1" applyBorder="1"/>
    <xf numFmtId="0" fontId="0" fillId="0" borderId="6" xfId="0" applyBorder="1"/>
    <xf numFmtId="0" fontId="0" fillId="0" borderId="2" xfId="0" applyBorder="1"/>
    <xf numFmtId="0" fontId="0" fillId="0" borderId="12" xfId="0" applyBorder="1"/>
    <xf numFmtId="165" fontId="0" fillId="0" borderId="6" xfId="0" applyNumberFormat="1" applyBorder="1" applyAlignment="1">
      <alignment horizontal="right"/>
    </xf>
    <xf numFmtId="0" fontId="0" fillId="0" borderId="12" xfId="0" applyBorder="1" applyAlignment="1">
      <alignment horizontal="right"/>
    </xf>
    <xf numFmtId="0" fontId="7" fillId="0" borderId="0" xfId="0" applyFont="1"/>
    <xf numFmtId="0" fontId="0" fillId="0" borderId="13" xfId="0" applyBorder="1"/>
    <xf numFmtId="0" fontId="2" fillId="0" borderId="8" xfId="0" applyFont="1" applyBorder="1"/>
    <xf numFmtId="0" fontId="0" fillId="0" borderId="14" xfId="0" applyBorder="1"/>
    <xf numFmtId="165" fontId="0" fillId="0" borderId="13" xfId="0" applyNumberFormat="1" applyBorder="1"/>
    <xf numFmtId="0" fontId="0" fillId="0" borderId="12" xfId="0" applyBorder="1" applyAlignment="1">
      <alignment horizontal="left"/>
    </xf>
    <xf numFmtId="165" fontId="0" fillId="0" borderId="0" xfId="0" applyNumberFormat="1"/>
    <xf numFmtId="165" fontId="2" fillId="0" borderId="1" xfId="0" applyNumberFormat="1" applyFont="1" applyBorder="1"/>
    <xf numFmtId="0" fontId="6" fillId="0" borderId="4" xfId="0" applyFont="1" applyBorder="1" applyAlignment="1">
      <alignment horizontal="center"/>
    </xf>
    <xf numFmtId="0" fontId="6" fillId="0" borderId="3" xfId="0" applyFont="1" applyBorder="1" applyAlignment="1">
      <alignment horizontal="center"/>
    </xf>
    <xf numFmtId="0" fontId="6" fillId="0" borderId="5"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xf>
    <xf numFmtId="0" fontId="6" fillId="0" borderId="7" xfId="0" applyFont="1" applyBorder="1" applyAlignment="1">
      <alignment horizontal="center" vertical="center" wrapText="1"/>
    </xf>
    <xf numFmtId="0" fontId="2" fillId="2" borderId="1" xfId="0" applyFont="1" applyFill="1" applyBorder="1" applyAlignment="1">
      <alignment horizontal="center" vertical="center" wrapText="1"/>
    </xf>
  </cellXfs>
  <cellStyles count="2">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103414</xdr:colOff>
      <xdr:row>13</xdr:row>
      <xdr:rowOff>104775</xdr:rowOff>
    </xdr:from>
    <xdr:to>
      <xdr:col>7</xdr:col>
      <xdr:colOff>668111</xdr:colOff>
      <xdr:row>15</xdr:row>
      <xdr:rowOff>142875</xdr:rowOff>
    </xdr:to>
    <xdr:sp macro="" textlink="">
      <xdr:nvSpPr>
        <xdr:cNvPr id="2" name="Flecha: a la derecha 1">
          <a:extLst>
            <a:ext uri="{FF2B5EF4-FFF2-40B4-BE49-F238E27FC236}">
              <a16:creationId xmlns:a16="http://schemas.microsoft.com/office/drawing/2014/main" id="{EB02E7E3-8FC2-4188-82E5-5DE4A1F8113B}"/>
            </a:ext>
          </a:extLst>
        </xdr:cNvPr>
        <xdr:cNvSpPr/>
      </xdr:nvSpPr>
      <xdr:spPr>
        <a:xfrm>
          <a:off x="6776357" y="2521404"/>
          <a:ext cx="564697" cy="40821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100693</xdr:colOff>
      <xdr:row>26</xdr:row>
      <xdr:rowOff>151040</xdr:rowOff>
    </xdr:from>
    <xdr:to>
      <xdr:col>7</xdr:col>
      <xdr:colOff>665390</xdr:colOff>
      <xdr:row>28</xdr:row>
      <xdr:rowOff>183697</xdr:rowOff>
    </xdr:to>
    <xdr:sp macro="" textlink="">
      <xdr:nvSpPr>
        <xdr:cNvPr id="3" name="Flecha: a la derecha 2">
          <a:extLst>
            <a:ext uri="{FF2B5EF4-FFF2-40B4-BE49-F238E27FC236}">
              <a16:creationId xmlns:a16="http://schemas.microsoft.com/office/drawing/2014/main" id="{DA6CB9F7-BAC7-4B12-9AE5-1F0548A12D21}"/>
            </a:ext>
          </a:extLst>
        </xdr:cNvPr>
        <xdr:cNvSpPr/>
      </xdr:nvSpPr>
      <xdr:spPr>
        <a:xfrm>
          <a:off x="6773636" y="4973411"/>
          <a:ext cx="564697" cy="4027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85725</xdr:colOff>
      <xdr:row>41</xdr:row>
      <xdr:rowOff>28575</xdr:rowOff>
    </xdr:from>
    <xdr:to>
      <xdr:col>7</xdr:col>
      <xdr:colOff>650422</xdr:colOff>
      <xdr:row>43</xdr:row>
      <xdr:rowOff>66675</xdr:rowOff>
    </xdr:to>
    <xdr:sp macro="" textlink="">
      <xdr:nvSpPr>
        <xdr:cNvPr id="4" name="Flecha: a la derecha 3">
          <a:extLst>
            <a:ext uri="{FF2B5EF4-FFF2-40B4-BE49-F238E27FC236}">
              <a16:creationId xmlns:a16="http://schemas.microsoft.com/office/drawing/2014/main" id="{25A30396-1C65-4D9A-ABE2-EAD9A13A74A1}"/>
            </a:ext>
          </a:extLst>
        </xdr:cNvPr>
        <xdr:cNvSpPr/>
      </xdr:nvSpPr>
      <xdr:spPr>
        <a:xfrm>
          <a:off x="6758668" y="7626804"/>
          <a:ext cx="564697" cy="40821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97971</xdr:colOff>
      <xdr:row>50</xdr:row>
      <xdr:rowOff>77561</xdr:rowOff>
    </xdr:from>
    <xdr:to>
      <xdr:col>7</xdr:col>
      <xdr:colOff>659946</xdr:colOff>
      <xdr:row>52</xdr:row>
      <xdr:rowOff>115661</xdr:rowOff>
    </xdr:to>
    <xdr:sp macro="" textlink="">
      <xdr:nvSpPr>
        <xdr:cNvPr id="5" name="Flecha: a la derecha 4">
          <a:extLst>
            <a:ext uri="{FF2B5EF4-FFF2-40B4-BE49-F238E27FC236}">
              <a16:creationId xmlns:a16="http://schemas.microsoft.com/office/drawing/2014/main" id="{59F8C6D0-5114-49C5-AC73-F278E0C45C80}"/>
            </a:ext>
          </a:extLst>
        </xdr:cNvPr>
        <xdr:cNvSpPr/>
      </xdr:nvSpPr>
      <xdr:spPr>
        <a:xfrm>
          <a:off x="6770914" y="9341304"/>
          <a:ext cx="561975" cy="40821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7</xdr:col>
      <xdr:colOff>127908</xdr:colOff>
      <xdr:row>61</xdr:row>
      <xdr:rowOff>161925</xdr:rowOff>
    </xdr:from>
    <xdr:to>
      <xdr:col>7</xdr:col>
      <xdr:colOff>689883</xdr:colOff>
      <xdr:row>64</xdr:row>
      <xdr:rowOff>9525</xdr:rowOff>
    </xdr:to>
    <xdr:sp macro="" textlink="">
      <xdr:nvSpPr>
        <xdr:cNvPr id="6" name="Flecha: a la derecha 5">
          <a:extLst>
            <a:ext uri="{FF2B5EF4-FFF2-40B4-BE49-F238E27FC236}">
              <a16:creationId xmlns:a16="http://schemas.microsoft.com/office/drawing/2014/main" id="{F2B12BE8-AF79-4119-9147-75AFDBED0854}"/>
            </a:ext>
          </a:extLst>
        </xdr:cNvPr>
        <xdr:cNvSpPr/>
      </xdr:nvSpPr>
      <xdr:spPr>
        <a:xfrm>
          <a:off x="6800851" y="11461296"/>
          <a:ext cx="561975" cy="4027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20"/>
  <sheetViews>
    <sheetView showGridLines="0" tabSelected="1" workbookViewId="0">
      <selection activeCell="E8" sqref="E8"/>
    </sheetView>
  </sheetViews>
  <sheetFormatPr baseColWidth="10" defaultRowHeight="15" x14ac:dyDescent="0.25"/>
  <cols>
    <col min="1" max="1" width="3" customWidth="1"/>
    <col min="2" max="2" width="3.28515625" customWidth="1"/>
    <col min="3" max="3" width="17.85546875" bestFit="1" customWidth="1"/>
    <col min="4" max="4" width="5" bestFit="1" customWidth="1"/>
  </cols>
  <sheetData>
    <row r="2" spans="2:4" x14ac:dyDescent="0.25">
      <c r="B2" s="12" t="s">
        <v>68</v>
      </c>
      <c r="C2" s="12"/>
      <c r="D2" s="12"/>
    </row>
    <row r="4" spans="2:4" x14ac:dyDescent="0.25">
      <c r="B4" s="45" t="s">
        <v>67</v>
      </c>
      <c r="C4" s="45" t="s">
        <v>66</v>
      </c>
    </row>
    <row r="5" spans="2:4" x14ac:dyDescent="0.25">
      <c r="B5" s="35">
        <v>1</v>
      </c>
      <c r="C5" s="46" t="s">
        <v>69</v>
      </c>
      <c r="D5" s="38">
        <v>0.08</v>
      </c>
    </row>
    <row r="6" spans="2:4" x14ac:dyDescent="0.25">
      <c r="B6" s="35">
        <v>2</v>
      </c>
      <c r="C6" s="46" t="s">
        <v>70</v>
      </c>
      <c r="D6" s="38">
        <v>0.08</v>
      </c>
    </row>
    <row r="7" spans="2:4" x14ac:dyDescent="0.25">
      <c r="B7" s="35">
        <v>3</v>
      </c>
      <c r="C7" s="46" t="s">
        <v>71</v>
      </c>
      <c r="D7" s="38">
        <v>0.08</v>
      </c>
    </row>
    <row r="8" spans="2:4" x14ac:dyDescent="0.25">
      <c r="B8" s="35">
        <v>4</v>
      </c>
      <c r="C8" s="46" t="s">
        <v>69</v>
      </c>
      <c r="D8" s="38">
        <v>0.08</v>
      </c>
    </row>
    <row r="9" spans="2:4" x14ac:dyDescent="0.25">
      <c r="B9" s="35">
        <v>5</v>
      </c>
      <c r="C9" s="46" t="s">
        <v>71</v>
      </c>
      <c r="D9" s="38">
        <v>0.08</v>
      </c>
    </row>
    <row r="10" spans="2:4" x14ac:dyDescent="0.25">
      <c r="B10" s="35">
        <v>6</v>
      </c>
      <c r="C10" s="46" t="s">
        <v>71</v>
      </c>
      <c r="D10" s="38">
        <v>0.08</v>
      </c>
    </row>
    <row r="11" spans="2:4" x14ac:dyDescent="0.25">
      <c r="B11" s="35">
        <v>7</v>
      </c>
      <c r="C11" s="46" t="s">
        <v>70</v>
      </c>
      <c r="D11" s="38">
        <v>0.08</v>
      </c>
    </row>
    <row r="12" spans="2:4" x14ac:dyDescent="0.25">
      <c r="B12" s="35">
        <v>8</v>
      </c>
      <c r="C12" s="46" t="s">
        <v>69</v>
      </c>
      <c r="D12" s="38">
        <v>0.08</v>
      </c>
    </row>
    <row r="13" spans="2:4" x14ac:dyDescent="0.25">
      <c r="B13" s="35">
        <v>9</v>
      </c>
      <c r="C13" s="46" t="s">
        <v>69</v>
      </c>
      <c r="D13" s="38">
        <v>0.08</v>
      </c>
    </row>
    <row r="14" spans="2:4" x14ac:dyDescent="0.25">
      <c r="B14" s="35">
        <v>10</v>
      </c>
      <c r="C14" s="46" t="s">
        <v>71</v>
      </c>
      <c r="D14" s="38">
        <v>0.08</v>
      </c>
    </row>
    <row r="15" spans="2:4" x14ac:dyDescent="0.25">
      <c r="B15" s="35">
        <v>11</v>
      </c>
      <c r="C15" s="46" t="s">
        <v>72</v>
      </c>
      <c r="D15" s="38">
        <v>0.08</v>
      </c>
    </row>
    <row r="16" spans="2:4" x14ac:dyDescent="0.25">
      <c r="B16" s="35">
        <v>12</v>
      </c>
      <c r="C16" s="46" t="s">
        <v>69</v>
      </c>
      <c r="D16" s="38">
        <v>0.08</v>
      </c>
    </row>
    <row r="17" spans="2:5" x14ac:dyDescent="0.25">
      <c r="B17" s="35">
        <v>13</v>
      </c>
      <c r="C17" s="46" t="s">
        <v>69</v>
      </c>
      <c r="D17" s="38">
        <v>0.08</v>
      </c>
    </row>
    <row r="18" spans="2:5" x14ac:dyDescent="0.25">
      <c r="B18" s="35">
        <v>14</v>
      </c>
      <c r="C18" s="46" t="s">
        <v>72</v>
      </c>
      <c r="D18" s="38">
        <v>0.08</v>
      </c>
    </row>
    <row r="19" spans="2:5" x14ac:dyDescent="0.25">
      <c r="B19" s="35">
        <v>15</v>
      </c>
      <c r="C19" s="46" t="s">
        <v>72</v>
      </c>
      <c r="D19" s="39">
        <v>0.08</v>
      </c>
    </row>
    <row r="20" spans="2:5" x14ac:dyDescent="0.25">
      <c r="D20" s="38">
        <f>SUM(D5:D19)</f>
        <v>1.2</v>
      </c>
      <c r="E20" s="38" t="s">
        <v>54</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11"/>
  <sheetViews>
    <sheetView showGridLines="0" zoomScale="80" zoomScaleNormal="80" workbookViewId="0">
      <selection activeCell="D12" sqref="D12"/>
    </sheetView>
  </sheetViews>
  <sheetFormatPr baseColWidth="10" defaultColWidth="11.5703125" defaultRowHeight="15" x14ac:dyDescent="0.25"/>
  <cols>
    <col min="1" max="1" width="2.7109375" style="21" customWidth="1"/>
    <col min="2" max="2" width="18.7109375" style="21" customWidth="1"/>
    <col min="3" max="3" width="56.7109375" style="21" customWidth="1"/>
    <col min="4" max="4" width="48.5703125" style="21" customWidth="1"/>
    <col min="5" max="16384" width="11.5703125" style="21"/>
  </cols>
  <sheetData>
    <row r="2" spans="2:6" x14ac:dyDescent="0.25">
      <c r="B2" s="12" t="s">
        <v>55</v>
      </c>
      <c r="C2" s="12"/>
      <c r="D2" s="12"/>
      <c r="E2"/>
    </row>
    <row r="4" spans="2:6" ht="47.25" x14ac:dyDescent="0.25">
      <c r="B4" s="22" t="s">
        <v>25</v>
      </c>
      <c r="C4" s="23" t="s">
        <v>26</v>
      </c>
      <c r="D4" s="23" t="s">
        <v>33</v>
      </c>
    </row>
    <row r="5" spans="2:6" ht="94.5" x14ac:dyDescent="0.25">
      <c r="B5" s="41" t="s">
        <v>27</v>
      </c>
      <c r="C5" s="42" t="s">
        <v>62</v>
      </c>
      <c r="D5" s="40" t="s">
        <v>56</v>
      </c>
      <c r="E5" s="38">
        <v>0.2</v>
      </c>
    </row>
    <row r="6" spans="2:6" ht="94.5" x14ac:dyDescent="0.25">
      <c r="B6" s="41" t="s">
        <v>28</v>
      </c>
      <c r="C6" s="42" t="s">
        <v>63</v>
      </c>
      <c r="D6" s="40" t="s">
        <v>57</v>
      </c>
      <c r="E6" s="38">
        <v>0.2</v>
      </c>
    </row>
    <row r="7" spans="2:6" ht="94.5" x14ac:dyDescent="0.25">
      <c r="B7" s="41" t="s">
        <v>29</v>
      </c>
      <c r="C7" s="42" t="s">
        <v>64</v>
      </c>
      <c r="D7" s="40" t="s">
        <v>58</v>
      </c>
      <c r="E7" s="38">
        <v>0.2</v>
      </c>
    </row>
    <row r="8" spans="2:6" ht="63" x14ac:dyDescent="0.25">
      <c r="B8" s="41" t="s">
        <v>30</v>
      </c>
      <c r="C8" s="42" t="s">
        <v>65</v>
      </c>
      <c r="D8" s="40" t="s">
        <v>59</v>
      </c>
      <c r="E8" s="38">
        <v>0.2</v>
      </c>
    </row>
    <row r="9" spans="2:6" ht="63" x14ac:dyDescent="0.25">
      <c r="B9" s="41" t="s">
        <v>31</v>
      </c>
      <c r="C9" s="42" t="s">
        <v>34</v>
      </c>
      <c r="D9" s="40" t="s">
        <v>60</v>
      </c>
      <c r="E9" s="38">
        <v>0.2</v>
      </c>
    </row>
    <row r="10" spans="2:6" ht="78.75" x14ac:dyDescent="0.25">
      <c r="B10" s="41" t="s">
        <v>32</v>
      </c>
      <c r="C10" s="42" t="s">
        <v>35</v>
      </c>
      <c r="D10" s="40" t="s">
        <v>61</v>
      </c>
      <c r="E10" s="39">
        <v>0.2</v>
      </c>
      <c r="F10"/>
    </row>
    <row r="11" spans="2:6" x14ac:dyDescent="0.25">
      <c r="E11" s="38">
        <f>SUM(E5:E10)</f>
        <v>1.2</v>
      </c>
      <c r="F11" s="38" t="s">
        <v>54</v>
      </c>
    </row>
  </sheetData>
  <pageMargins left="0.7" right="0.7" top="0.75" bottom="0.75" header="0.3" footer="0.3"/>
  <pageSetup scale="81"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81"/>
  <sheetViews>
    <sheetView showGridLines="0" topLeftCell="A43" zoomScale="85" zoomScaleNormal="85" workbookViewId="0">
      <selection activeCell="H37" sqref="H37"/>
    </sheetView>
  </sheetViews>
  <sheetFormatPr baseColWidth="10" defaultRowHeight="15" x14ac:dyDescent="0.25"/>
  <cols>
    <col min="1" max="1" width="3.42578125" customWidth="1"/>
    <col min="2" max="2" width="14.85546875" customWidth="1"/>
    <col min="3" max="3" width="24.28515625" customWidth="1"/>
    <col min="4" max="4" width="32.28515625" bestFit="1" customWidth="1"/>
    <col min="5" max="6" width="11.28515625" style="64" bestFit="1" customWidth="1"/>
    <col min="7" max="7" width="4.85546875" bestFit="1" customWidth="1"/>
    <col min="9" max="9" width="13.28515625" customWidth="1"/>
    <col min="10" max="11" width="23.85546875" customWidth="1"/>
    <col min="12" max="13" width="11.28515625" bestFit="1" customWidth="1"/>
  </cols>
  <sheetData>
    <row r="2" spans="2:13" x14ac:dyDescent="0.25">
      <c r="B2" s="12" t="s">
        <v>128</v>
      </c>
      <c r="C2" s="12"/>
      <c r="D2" s="12"/>
      <c r="E2" s="12"/>
      <c r="F2" s="12"/>
    </row>
    <row r="4" spans="2:13" ht="15.75" x14ac:dyDescent="0.25">
      <c r="B4" s="66" t="s">
        <v>2</v>
      </c>
      <c r="C4" s="67"/>
      <c r="D4" s="67"/>
      <c r="E4" s="67"/>
      <c r="F4" s="68"/>
    </row>
    <row r="5" spans="2:13" x14ac:dyDescent="0.25">
      <c r="B5" s="47" t="s">
        <v>40</v>
      </c>
      <c r="C5" s="69" t="s">
        <v>73</v>
      </c>
      <c r="D5" s="70"/>
      <c r="E5" s="48" t="s">
        <v>74</v>
      </c>
      <c r="F5" s="48" t="s">
        <v>75</v>
      </c>
    </row>
    <row r="6" spans="2:13" x14ac:dyDescent="0.25">
      <c r="B6" s="49">
        <v>44621</v>
      </c>
      <c r="C6" s="50" t="s">
        <v>76</v>
      </c>
      <c r="D6" s="51"/>
      <c r="E6" s="52"/>
      <c r="F6" s="52"/>
    </row>
    <row r="7" spans="2:13" x14ac:dyDescent="0.25">
      <c r="B7" s="53"/>
      <c r="C7" s="54" t="s">
        <v>77</v>
      </c>
      <c r="D7" s="55"/>
      <c r="E7" s="56">
        <v>20000000</v>
      </c>
      <c r="F7" s="56"/>
    </row>
    <row r="8" spans="2:13" x14ac:dyDescent="0.25">
      <c r="B8" s="53"/>
      <c r="C8" s="54" t="s">
        <v>78</v>
      </c>
      <c r="D8" s="55"/>
      <c r="E8" s="56">
        <v>20000000</v>
      </c>
      <c r="F8" s="56"/>
    </row>
    <row r="9" spans="2:13" x14ac:dyDescent="0.25">
      <c r="B9" s="53"/>
      <c r="C9" s="54"/>
      <c r="D9" s="57" t="s">
        <v>79</v>
      </c>
      <c r="E9" s="56"/>
      <c r="F9" s="56">
        <f>+E7+E8</f>
        <v>40000000</v>
      </c>
      <c r="I9" s="58" t="s">
        <v>80</v>
      </c>
    </row>
    <row r="10" spans="2:13" x14ac:dyDescent="0.25">
      <c r="B10" s="59"/>
      <c r="C10" s="60" t="s">
        <v>81</v>
      </c>
      <c r="D10" s="61"/>
      <c r="E10" s="62"/>
      <c r="F10" s="62"/>
      <c r="G10" s="43">
        <v>0.08</v>
      </c>
    </row>
    <row r="11" spans="2:13" x14ac:dyDescent="0.25">
      <c r="B11" s="49">
        <v>44621</v>
      </c>
      <c r="C11" s="50" t="s">
        <v>82</v>
      </c>
      <c r="D11" s="51"/>
      <c r="E11" s="52"/>
      <c r="F11" s="52"/>
      <c r="I11" s="49">
        <v>44621</v>
      </c>
      <c r="J11" s="50" t="s">
        <v>83</v>
      </c>
      <c r="K11" s="51"/>
      <c r="L11" s="52"/>
      <c r="M11" s="52"/>
    </row>
    <row r="12" spans="2:13" x14ac:dyDescent="0.25">
      <c r="B12" s="53"/>
      <c r="C12" s="54" t="s">
        <v>84</v>
      </c>
      <c r="D12" s="55"/>
      <c r="E12" s="56">
        <v>13000000</v>
      </c>
      <c r="F12" s="56"/>
      <c r="I12" s="53"/>
      <c r="J12" s="54" t="s">
        <v>84</v>
      </c>
      <c r="K12" s="55"/>
      <c r="L12" s="56">
        <v>13000000</v>
      </c>
      <c r="M12" s="56"/>
    </row>
    <row r="13" spans="2:13" x14ac:dyDescent="0.25">
      <c r="B13" s="53"/>
      <c r="C13" s="54" t="s">
        <v>85</v>
      </c>
      <c r="D13" s="55"/>
      <c r="E13" s="56">
        <v>2500000</v>
      </c>
      <c r="F13" s="56"/>
      <c r="I13" s="53"/>
      <c r="J13" s="54" t="s">
        <v>85</v>
      </c>
      <c r="K13" s="55"/>
      <c r="L13" s="56">
        <v>2500000</v>
      </c>
      <c r="M13" s="56"/>
    </row>
    <row r="14" spans="2:13" x14ac:dyDescent="0.25">
      <c r="B14" s="53"/>
      <c r="C14" s="54" t="s">
        <v>86</v>
      </c>
      <c r="D14" s="55"/>
      <c r="E14" s="56">
        <v>6500000</v>
      </c>
      <c r="F14" s="56"/>
      <c r="I14" s="53"/>
      <c r="J14" s="54" t="s">
        <v>86</v>
      </c>
      <c r="K14" s="55"/>
      <c r="L14" s="56">
        <v>6500000</v>
      </c>
      <c r="M14" s="56"/>
    </row>
    <row r="15" spans="2:13" x14ac:dyDescent="0.25">
      <c r="B15" s="53"/>
      <c r="C15" s="54" t="s">
        <v>87</v>
      </c>
      <c r="D15" s="55"/>
      <c r="E15" s="56">
        <v>4000000</v>
      </c>
      <c r="F15" s="56"/>
      <c r="I15" s="53"/>
      <c r="J15" s="54" t="s">
        <v>87</v>
      </c>
      <c r="K15" s="55"/>
      <c r="L15" s="56">
        <v>4000000</v>
      </c>
      <c r="M15" s="56"/>
    </row>
    <row r="16" spans="2:13" x14ac:dyDescent="0.25">
      <c r="B16" s="53"/>
      <c r="C16" s="54" t="s">
        <v>88</v>
      </c>
      <c r="D16" s="55"/>
      <c r="E16" s="56">
        <v>2000000</v>
      </c>
      <c r="F16" s="56"/>
      <c r="I16" s="53"/>
      <c r="J16" s="54" t="s">
        <v>88</v>
      </c>
      <c r="K16" s="55"/>
      <c r="L16" s="56">
        <v>2000000</v>
      </c>
      <c r="M16" s="56"/>
    </row>
    <row r="17" spans="2:13" x14ac:dyDescent="0.25">
      <c r="B17" s="53"/>
      <c r="C17" s="54" t="s">
        <v>89</v>
      </c>
      <c r="D17" s="55"/>
      <c r="E17" s="56">
        <v>17500000</v>
      </c>
      <c r="F17" s="56"/>
      <c r="I17" s="53"/>
      <c r="J17" s="54" t="s">
        <v>89</v>
      </c>
      <c r="K17" s="55"/>
      <c r="L17" s="56">
        <v>17500000</v>
      </c>
      <c r="M17" s="56"/>
    </row>
    <row r="18" spans="2:13" x14ac:dyDescent="0.25">
      <c r="B18" s="53"/>
      <c r="C18" s="54"/>
      <c r="D18" s="55" t="s">
        <v>7</v>
      </c>
      <c r="E18" s="56"/>
      <c r="F18" s="56">
        <v>2000000</v>
      </c>
      <c r="I18" s="53"/>
      <c r="J18" s="54"/>
      <c r="K18" s="55" t="s">
        <v>7</v>
      </c>
      <c r="L18" s="56"/>
      <c r="M18" s="56">
        <v>2000000</v>
      </c>
    </row>
    <row r="19" spans="2:13" x14ac:dyDescent="0.25">
      <c r="B19" s="53"/>
      <c r="C19" s="54"/>
      <c r="D19" s="55" t="s">
        <v>90</v>
      </c>
      <c r="E19" s="56"/>
      <c r="F19" s="56">
        <v>3500000</v>
      </c>
      <c r="I19" s="53"/>
      <c r="J19" s="54"/>
      <c r="K19" s="55" t="s">
        <v>90</v>
      </c>
      <c r="L19" s="56"/>
      <c r="M19" s="56">
        <v>3500000</v>
      </c>
    </row>
    <row r="20" spans="2:13" x14ac:dyDescent="0.25">
      <c r="B20" s="53"/>
      <c r="C20" s="54"/>
      <c r="D20" s="55" t="s">
        <v>77</v>
      </c>
      <c r="E20" s="56"/>
      <c r="F20" s="56">
        <f>+E12+E13+E14-F18</f>
        <v>20000000</v>
      </c>
      <c r="I20" s="53"/>
      <c r="J20" s="54"/>
      <c r="K20" s="63" t="s">
        <v>79</v>
      </c>
      <c r="L20" s="56"/>
      <c r="M20" s="56">
        <f>+L12+L13+L14+L15+L16+L17-M18-M19</f>
        <v>40000000</v>
      </c>
    </row>
    <row r="21" spans="2:13" x14ac:dyDescent="0.25">
      <c r="B21" s="53"/>
      <c r="C21" s="54"/>
      <c r="D21" s="55" t="s">
        <v>78</v>
      </c>
      <c r="E21" s="56"/>
      <c r="F21" s="56">
        <f>+E15+E16+E17-F19</f>
        <v>20000000</v>
      </c>
      <c r="G21" s="43">
        <v>0.08</v>
      </c>
      <c r="I21" s="59"/>
      <c r="J21" s="60" t="s">
        <v>91</v>
      </c>
      <c r="K21" s="61"/>
      <c r="L21" s="62"/>
      <c r="M21" s="62"/>
    </row>
    <row r="22" spans="2:13" x14ac:dyDescent="0.25">
      <c r="B22" s="59"/>
      <c r="C22" s="60" t="s">
        <v>91</v>
      </c>
      <c r="D22" s="61"/>
      <c r="E22" s="62"/>
      <c r="F22" s="62"/>
    </row>
    <row r="23" spans="2:13" x14ac:dyDescent="0.25">
      <c r="B23" s="49">
        <v>44622</v>
      </c>
      <c r="C23" s="50" t="s">
        <v>92</v>
      </c>
      <c r="D23" s="51"/>
      <c r="E23" s="52"/>
      <c r="F23" s="52"/>
    </row>
    <row r="24" spans="2:13" x14ac:dyDescent="0.25">
      <c r="B24" s="53"/>
      <c r="C24" s="54" t="s">
        <v>93</v>
      </c>
      <c r="D24" s="55"/>
      <c r="E24" s="56">
        <v>7500000</v>
      </c>
      <c r="F24" s="56"/>
    </row>
    <row r="25" spans="2:13" x14ac:dyDescent="0.25">
      <c r="B25" s="53"/>
      <c r="C25" s="54"/>
      <c r="D25" s="55" t="s">
        <v>84</v>
      </c>
      <c r="E25" s="56"/>
      <c r="F25" s="56">
        <f>+E24</f>
        <v>7500000</v>
      </c>
      <c r="G25" s="43">
        <v>0.08</v>
      </c>
    </row>
    <row r="26" spans="2:13" x14ac:dyDescent="0.25">
      <c r="B26" s="59"/>
      <c r="C26" s="60" t="s">
        <v>94</v>
      </c>
      <c r="D26" s="61"/>
      <c r="E26" s="62"/>
      <c r="F26" s="62"/>
      <c r="I26" s="58" t="s">
        <v>95</v>
      </c>
    </row>
    <row r="27" spans="2:13" x14ac:dyDescent="0.25">
      <c r="B27" s="49">
        <v>44626</v>
      </c>
      <c r="C27" s="50" t="s">
        <v>96</v>
      </c>
      <c r="D27" s="51"/>
      <c r="E27" s="52"/>
      <c r="F27" s="52"/>
      <c r="I27" s="49">
        <v>44626</v>
      </c>
      <c r="J27" s="50" t="s">
        <v>83</v>
      </c>
      <c r="K27" s="51"/>
      <c r="L27" s="52"/>
      <c r="M27" s="52"/>
    </row>
    <row r="28" spans="2:13" x14ac:dyDescent="0.25">
      <c r="B28" s="53"/>
      <c r="C28" s="54" t="s">
        <v>97</v>
      </c>
      <c r="D28" s="55"/>
      <c r="E28" s="56">
        <v>500000</v>
      </c>
      <c r="F28" s="56"/>
      <c r="I28" s="53"/>
      <c r="J28" s="54" t="s">
        <v>97</v>
      </c>
      <c r="K28" s="55"/>
      <c r="L28" s="56">
        <v>500000</v>
      </c>
      <c r="M28" s="56"/>
    </row>
    <row r="29" spans="2:13" x14ac:dyDescent="0.25">
      <c r="B29" s="53"/>
      <c r="C29" s="54" t="s">
        <v>0</v>
      </c>
      <c r="D29" s="55"/>
      <c r="E29" s="56">
        <f>+E28*0.19</f>
        <v>95000</v>
      </c>
      <c r="F29" s="56"/>
      <c r="I29" s="53"/>
      <c r="J29" s="54" t="s">
        <v>0</v>
      </c>
      <c r="K29" s="55"/>
      <c r="L29" s="56">
        <f>+L28*0.19</f>
        <v>95000</v>
      </c>
      <c r="M29" s="56"/>
    </row>
    <row r="30" spans="2:13" x14ac:dyDescent="0.25">
      <c r="B30" s="53"/>
      <c r="C30" s="54"/>
      <c r="D30" s="55" t="s">
        <v>90</v>
      </c>
      <c r="E30" s="56"/>
      <c r="F30" s="56">
        <f>+E28+E29</f>
        <v>595000</v>
      </c>
      <c r="G30" s="43">
        <v>0.08</v>
      </c>
      <c r="I30" s="53"/>
      <c r="J30" s="54"/>
      <c r="K30" s="55" t="s">
        <v>98</v>
      </c>
      <c r="L30" s="56"/>
      <c r="M30" s="56">
        <f>+L28+L29</f>
        <v>595000</v>
      </c>
    </row>
    <row r="31" spans="2:13" x14ac:dyDescent="0.25">
      <c r="B31" s="59"/>
      <c r="C31" s="60" t="s">
        <v>99</v>
      </c>
      <c r="D31" s="61"/>
      <c r="E31" s="62"/>
      <c r="F31" s="62"/>
      <c r="I31" s="59"/>
      <c r="J31" s="60" t="s">
        <v>100</v>
      </c>
      <c r="K31" s="61"/>
      <c r="L31" s="62"/>
      <c r="M31" s="62"/>
    </row>
    <row r="32" spans="2:13" x14ac:dyDescent="0.25">
      <c r="B32" s="49">
        <v>44626</v>
      </c>
      <c r="C32" s="50" t="s">
        <v>101</v>
      </c>
      <c r="D32" s="51"/>
      <c r="E32" s="52"/>
      <c r="F32" s="52"/>
    </row>
    <row r="33" spans="2:13" x14ac:dyDescent="0.25">
      <c r="B33" s="53"/>
      <c r="C33" s="54" t="s">
        <v>90</v>
      </c>
      <c r="D33" s="55"/>
      <c r="E33" s="56">
        <f>+F30</f>
        <v>595000</v>
      </c>
      <c r="F33" s="56"/>
    </row>
    <row r="34" spans="2:13" x14ac:dyDescent="0.25">
      <c r="B34" s="53"/>
      <c r="C34" s="54"/>
      <c r="D34" s="55" t="s">
        <v>93</v>
      </c>
      <c r="E34" s="56"/>
      <c r="F34" s="56">
        <f>+E33</f>
        <v>595000</v>
      </c>
      <c r="G34" s="43">
        <v>0.08</v>
      </c>
    </row>
    <row r="35" spans="2:13" x14ac:dyDescent="0.25">
      <c r="B35" s="59"/>
      <c r="C35" s="60" t="s">
        <v>102</v>
      </c>
      <c r="D35" s="61"/>
      <c r="E35" s="62"/>
      <c r="F35" s="62"/>
      <c r="I35" s="64"/>
    </row>
    <row r="36" spans="2:13" x14ac:dyDescent="0.25">
      <c r="B36" s="49">
        <v>44628</v>
      </c>
      <c r="C36" s="50" t="s">
        <v>103</v>
      </c>
      <c r="D36" s="51"/>
      <c r="E36" s="52"/>
      <c r="F36" s="52"/>
    </row>
    <row r="37" spans="2:13" x14ac:dyDescent="0.25">
      <c r="B37" s="53"/>
      <c r="C37" s="54" t="s">
        <v>85</v>
      </c>
      <c r="D37" s="55"/>
      <c r="E37" s="56">
        <f>+F39/1.19</f>
        <v>4000000</v>
      </c>
      <c r="F37" s="56"/>
    </row>
    <row r="38" spans="2:13" x14ac:dyDescent="0.25">
      <c r="B38" s="53"/>
      <c r="C38" s="54" t="s">
        <v>0</v>
      </c>
      <c r="D38" s="55"/>
      <c r="E38" s="56">
        <f>+E37*0.19</f>
        <v>760000</v>
      </c>
      <c r="F38" s="56"/>
    </row>
    <row r="39" spans="2:13" x14ac:dyDescent="0.25">
      <c r="B39" s="53"/>
      <c r="C39" s="54"/>
      <c r="D39" s="55" t="s">
        <v>7</v>
      </c>
      <c r="E39" s="56"/>
      <c r="F39" s="56">
        <v>4760000</v>
      </c>
      <c r="G39" s="43">
        <v>0.08</v>
      </c>
    </row>
    <row r="40" spans="2:13" x14ac:dyDescent="0.25">
      <c r="B40" s="59"/>
      <c r="C40" s="60" t="s">
        <v>104</v>
      </c>
      <c r="D40" s="61"/>
      <c r="E40" s="62"/>
      <c r="F40" s="62"/>
      <c r="I40" s="58" t="s">
        <v>105</v>
      </c>
    </row>
    <row r="41" spans="2:13" x14ac:dyDescent="0.25">
      <c r="B41" s="49">
        <v>44628</v>
      </c>
      <c r="C41" s="50" t="s">
        <v>106</v>
      </c>
      <c r="D41" s="51"/>
      <c r="E41" s="52"/>
      <c r="F41" s="52"/>
      <c r="I41" s="49">
        <v>44628</v>
      </c>
      <c r="J41" s="50" t="s">
        <v>83</v>
      </c>
      <c r="K41" s="51"/>
      <c r="L41" s="52"/>
      <c r="M41" s="52"/>
    </row>
    <row r="42" spans="2:13" x14ac:dyDescent="0.25">
      <c r="B42" s="53"/>
      <c r="C42" s="54" t="s">
        <v>85</v>
      </c>
      <c r="D42" s="55"/>
      <c r="E42" s="56">
        <f>+F44/1.19</f>
        <v>500000</v>
      </c>
      <c r="F42" s="56"/>
      <c r="I42" s="53"/>
      <c r="J42" s="54" t="s">
        <v>85</v>
      </c>
      <c r="K42" s="55"/>
      <c r="L42" s="56">
        <f>+E37+E42</f>
        <v>4500000</v>
      </c>
      <c r="M42" s="56"/>
    </row>
    <row r="43" spans="2:13" x14ac:dyDescent="0.25">
      <c r="B43" s="53"/>
      <c r="C43" s="54" t="s">
        <v>0</v>
      </c>
      <c r="D43" s="55"/>
      <c r="E43" s="56">
        <f>+E42*0.19</f>
        <v>95000</v>
      </c>
      <c r="F43" s="56"/>
      <c r="I43" s="53"/>
      <c r="J43" s="54" t="s">
        <v>0</v>
      </c>
      <c r="K43" s="55"/>
      <c r="L43" s="56">
        <f>+L42*0.19</f>
        <v>855000</v>
      </c>
      <c r="M43" s="56"/>
    </row>
    <row r="44" spans="2:13" x14ac:dyDescent="0.25">
      <c r="B44" s="53"/>
      <c r="C44" s="54"/>
      <c r="D44" s="55" t="s">
        <v>7</v>
      </c>
      <c r="E44" s="56"/>
      <c r="F44" s="56">
        <v>595000</v>
      </c>
      <c r="G44" s="43">
        <v>0.08</v>
      </c>
      <c r="I44" s="53"/>
      <c r="J44" s="54"/>
      <c r="K44" s="55" t="s">
        <v>7</v>
      </c>
      <c r="L44" s="56"/>
      <c r="M44" s="56">
        <f>+L42+L43</f>
        <v>5355000</v>
      </c>
    </row>
    <row r="45" spans="2:13" x14ac:dyDescent="0.25">
      <c r="B45" s="59"/>
      <c r="C45" s="60" t="s">
        <v>107</v>
      </c>
      <c r="D45" s="61"/>
      <c r="E45" s="62"/>
      <c r="F45" s="62"/>
      <c r="I45" s="59"/>
      <c r="J45" s="60" t="s">
        <v>108</v>
      </c>
      <c r="K45" s="61"/>
      <c r="L45" s="62"/>
      <c r="M45" s="62"/>
    </row>
    <row r="46" spans="2:13" x14ac:dyDescent="0.25">
      <c r="B46" s="49">
        <v>44628</v>
      </c>
      <c r="C46" s="50" t="s">
        <v>109</v>
      </c>
      <c r="D46" s="51"/>
      <c r="E46" s="52"/>
      <c r="F46" s="52"/>
    </row>
    <row r="47" spans="2:13" x14ac:dyDescent="0.25">
      <c r="B47" s="53"/>
      <c r="C47" s="54" t="str">
        <f>+D39</f>
        <v>Proveedores</v>
      </c>
      <c r="D47" s="55"/>
      <c r="E47" s="56">
        <f>+F39+F44</f>
        <v>5355000</v>
      </c>
      <c r="F47" s="56"/>
    </row>
    <row r="48" spans="2:13" x14ac:dyDescent="0.25">
      <c r="B48" s="53"/>
      <c r="C48" s="54"/>
      <c r="D48" s="55" t="s">
        <v>84</v>
      </c>
      <c r="E48" s="56"/>
      <c r="F48" s="56">
        <f>+E47</f>
        <v>5355000</v>
      </c>
      <c r="G48" s="43">
        <v>0.08</v>
      </c>
    </row>
    <row r="49" spans="2:13" x14ac:dyDescent="0.25">
      <c r="B49" s="59"/>
      <c r="C49" s="60" t="s">
        <v>110</v>
      </c>
      <c r="D49" s="61"/>
      <c r="E49" s="62"/>
      <c r="F49" s="62"/>
      <c r="I49" s="58" t="s">
        <v>95</v>
      </c>
    </row>
    <row r="50" spans="2:13" x14ac:dyDescent="0.25">
      <c r="B50" s="49">
        <v>44632</v>
      </c>
      <c r="C50" s="50" t="s">
        <v>111</v>
      </c>
      <c r="D50" s="51"/>
      <c r="E50" s="52"/>
      <c r="F50" s="52"/>
      <c r="I50" s="49">
        <v>44632</v>
      </c>
      <c r="J50" s="50" t="s">
        <v>83</v>
      </c>
      <c r="K50" s="51"/>
      <c r="L50" s="52"/>
      <c r="M50" s="52"/>
    </row>
    <row r="51" spans="2:13" x14ac:dyDescent="0.25">
      <c r="B51" s="53"/>
      <c r="C51" s="54" t="s">
        <v>88</v>
      </c>
      <c r="D51" s="55"/>
      <c r="E51" s="56">
        <f>+F53/1.19</f>
        <v>2000000</v>
      </c>
      <c r="F51" s="56"/>
      <c r="I51" s="53"/>
      <c r="J51" s="54" t="s">
        <v>88</v>
      </c>
      <c r="K51" s="55"/>
      <c r="L51" s="56">
        <f>+E51</f>
        <v>2000000</v>
      </c>
      <c r="M51" s="56"/>
    </row>
    <row r="52" spans="2:13" x14ac:dyDescent="0.25">
      <c r="B52" s="53"/>
      <c r="C52" s="54" t="s">
        <v>0</v>
      </c>
      <c r="D52" s="55"/>
      <c r="E52" s="56">
        <f>+E51*0.19</f>
        <v>380000</v>
      </c>
      <c r="F52" s="56"/>
      <c r="I52" s="53"/>
      <c r="J52" s="54" t="s">
        <v>0</v>
      </c>
      <c r="K52" s="55"/>
      <c r="L52" s="56">
        <f>+L51*0.19</f>
        <v>380000</v>
      </c>
      <c r="M52" s="56"/>
    </row>
    <row r="53" spans="2:13" x14ac:dyDescent="0.25">
      <c r="B53" s="53"/>
      <c r="C53" s="54"/>
      <c r="D53" s="55" t="s">
        <v>90</v>
      </c>
      <c r="E53" s="56"/>
      <c r="F53" s="56">
        <v>2380000</v>
      </c>
      <c r="G53" s="43">
        <v>0.08</v>
      </c>
      <c r="I53" s="53"/>
      <c r="J53" s="54"/>
      <c r="K53" s="55" t="s">
        <v>90</v>
      </c>
      <c r="L53" s="56"/>
      <c r="M53" s="56">
        <f>+F53/2</f>
        <v>1190000</v>
      </c>
    </row>
    <row r="54" spans="2:13" x14ac:dyDescent="0.25">
      <c r="B54" s="59"/>
      <c r="C54" s="60" t="s">
        <v>112</v>
      </c>
      <c r="D54" s="61"/>
      <c r="E54" s="62"/>
      <c r="F54" s="62"/>
      <c r="I54" s="53"/>
      <c r="J54" s="54"/>
      <c r="K54" s="55" t="s">
        <v>93</v>
      </c>
      <c r="L54" s="56"/>
      <c r="M54" s="56">
        <f>+M53</f>
        <v>1190000</v>
      </c>
    </row>
    <row r="55" spans="2:13" x14ac:dyDescent="0.25">
      <c r="B55" s="49">
        <v>44632</v>
      </c>
      <c r="C55" s="50" t="s">
        <v>113</v>
      </c>
      <c r="D55" s="51"/>
      <c r="E55" s="52"/>
      <c r="F55" s="52"/>
      <c r="I55" s="59"/>
      <c r="J55" s="60" t="s">
        <v>112</v>
      </c>
      <c r="K55" s="61"/>
      <c r="L55" s="62"/>
      <c r="M55" s="62"/>
    </row>
    <row r="56" spans="2:13" x14ac:dyDescent="0.25">
      <c r="B56" s="53"/>
      <c r="C56" s="54" t="s">
        <v>90</v>
      </c>
      <c r="D56" s="55"/>
      <c r="E56" s="56">
        <f>+F53*0.5</f>
        <v>1190000</v>
      </c>
      <c r="F56" s="56"/>
    </row>
    <row r="57" spans="2:13" x14ac:dyDescent="0.25">
      <c r="B57" s="53"/>
      <c r="C57" s="54"/>
      <c r="D57" s="55" t="s">
        <v>93</v>
      </c>
      <c r="E57" s="56"/>
      <c r="F57" s="56">
        <f>+E56</f>
        <v>1190000</v>
      </c>
      <c r="G57" s="43">
        <v>0.08</v>
      </c>
    </row>
    <row r="58" spans="2:13" x14ac:dyDescent="0.25">
      <c r="B58" s="59"/>
      <c r="C58" s="60" t="s">
        <v>114</v>
      </c>
      <c r="D58" s="61"/>
      <c r="E58" s="62"/>
      <c r="F58" s="62"/>
    </row>
    <row r="59" spans="2:13" x14ac:dyDescent="0.25">
      <c r="B59" s="49">
        <v>44642</v>
      </c>
      <c r="C59" s="50" t="s">
        <v>115</v>
      </c>
      <c r="D59" s="51"/>
      <c r="E59" s="52"/>
      <c r="F59" s="52"/>
    </row>
    <row r="60" spans="2:13" x14ac:dyDescent="0.25">
      <c r="B60" s="53"/>
      <c r="C60" s="54" t="s">
        <v>116</v>
      </c>
      <c r="D60" s="55"/>
      <c r="E60" s="56">
        <f>+F62/1.19</f>
        <v>300000</v>
      </c>
      <c r="F60" s="56"/>
    </row>
    <row r="61" spans="2:13" x14ac:dyDescent="0.25">
      <c r="B61" s="53"/>
      <c r="C61" s="54" t="s">
        <v>0</v>
      </c>
      <c r="D61" s="55"/>
      <c r="E61" s="56">
        <f>+E60*0.19</f>
        <v>57000</v>
      </c>
      <c r="F61" s="56"/>
      <c r="I61" s="58" t="s">
        <v>95</v>
      </c>
    </row>
    <row r="62" spans="2:13" x14ac:dyDescent="0.25">
      <c r="B62" s="53"/>
      <c r="C62" s="54"/>
      <c r="D62" s="55" t="s">
        <v>90</v>
      </c>
      <c r="E62" s="56"/>
      <c r="F62" s="56">
        <v>357000</v>
      </c>
      <c r="G62" s="43">
        <v>0.08</v>
      </c>
      <c r="I62" s="49">
        <v>44642</v>
      </c>
      <c r="J62" s="50" t="s">
        <v>83</v>
      </c>
      <c r="K62" s="51"/>
      <c r="L62" s="52"/>
      <c r="M62" s="52"/>
    </row>
    <row r="63" spans="2:13" x14ac:dyDescent="0.25">
      <c r="B63" s="59"/>
      <c r="C63" s="60" t="s">
        <v>117</v>
      </c>
      <c r="D63" s="61"/>
      <c r="E63" s="62"/>
      <c r="F63" s="62"/>
      <c r="I63" s="53"/>
      <c r="J63" s="54" t="s">
        <v>116</v>
      </c>
      <c r="K63" s="55"/>
      <c r="L63" s="56">
        <f>+E60</f>
        <v>300000</v>
      </c>
      <c r="M63" s="56"/>
    </row>
    <row r="64" spans="2:13" x14ac:dyDescent="0.25">
      <c r="B64" s="49">
        <v>44642</v>
      </c>
      <c r="C64" s="50" t="s">
        <v>118</v>
      </c>
      <c r="D64" s="51"/>
      <c r="E64" s="52"/>
      <c r="F64" s="52"/>
      <c r="I64" s="53"/>
      <c r="J64" s="54" t="s">
        <v>0</v>
      </c>
      <c r="K64" s="55"/>
      <c r="L64" s="56">
        <f>+L63*0.19</f>
        <v>57000</v>
      </c>
      <c r="M64" s="56"/>
    </row>
    <row r="65" spans="2:14" x14ac:dyDescent="0.25">
      <c r="B65" s="53"/>
      <c r="C65" s="54" t="s">
        <v>90</v>
      </c>
      <c r="D65" s="55"/>
      <c r="E65" s="56">
        <f>+F62</f>
        <v>357000</v>
      </c>
      <c r="F65" s="56"/>
      <c r="I65" s="53"/>
      <c r="J65" s="54"/>
      <c r="K65" s="55" t="s">
        <v>93</v>
      </c>
      <c r="L65" s="56"/>
      <c r="M65" s="56">
        <f>+L63+L64</f>
        <v>357000</v>
      </c>
    </row>
    <row r="66" spans="2:14" x14ac:dyDescent="0.25">
      <c r="B66" s="53"/>
      <c r="C66" s="54"/>
      <c r="D66" s="55" t="s">
        <v>93</v>
      </c>
      <c r="E66" s="56"/>
      <c r="F66" s="56">
        <f>+E65</f>
        <v>357000</v>
      </c>
      <c r="G66" s="43">
        <v>0.08</v>
      </c>
      <c r="I66" s="59"/>
      <c r="J66" s="60" t="s">
        <v>117</v>
      </c>
      <c r="K66" s="61"/>
      <c r="L66" s="62"/>
      <c r="M66" s="62"/>
    </row>
    <row r="67" spans="2:14" x14ac:dyDescent="0.25">
      <c r="B67" s="59"/>
      <c r="C67" s="60" t="s">
        <v>119</v>
      </c>
      <c r="D67" s="61"/>
      <c r="E67" s="62"/>
      <c r="F67" s="62"/>
    </row>
    <row r="68" spans="2:14" x14ac:dyDescent="0.25">
      <c r="B68" s="49">
        <v>44649</v>
      </c>
      <c r="C68" s="50" t="s">
        <v>120</v>
      </c>
      <c r="D68" s="51"/>
      <c r="E68" s="52"/>
      <c r="F68" s="52"/>
    </row>
    <row r="69" spans="2:14" x14ac:dyDescent="0.25">
      <c r="B69" s="53"/>
      <c r="C69" s="54" t="s">
        <v>7</v>
      </c>
      <c r="D69" s="55"/>
      <c r="E69" s="56">
        <v>2000000</v>
      </c>
      <c r="F69" s="56"/>
      <c r="N69" s="64"/>
    </row>
    <row r="70" spans="2:14" x14ac:dyDescent="0.25">
      <c r="B70" s="53"/>
      <c r="C70" s="54"/>
      <c r="D70" s="55" t="s">
        <v>93</v>
      </c>
      <c r="E70" s="56"/>
      <c r="F70" s="56">
        <f>+E69</f>
        <v>2000000</v>
      </c>
      <c r="G70" s="43">
        <v>0.08</v>
      </c>
      <c r="N70" s="64"/>
    </row>
    <row r="71" spans="2:14" x14ac:dyDescent="0.25">
      <c r="B71" s="59"/>
      <c r="C71" s="60" t="s">
        <v>121</v>
      </c>
      <c r="D71" s="61"/>
      <c r="E71" s="62"/>
      <c r="F71" s="62"/>
    </row>
    <row r="72" spans="2:14" x14ac:dyDescent="0.25">
      <c r="B72" s="49">
        <v>44650</v>
      </c>
      <c r="C72" s="50" t="s">
        <v>122</v>
      </c>
      <c r="D72" s="51"/>
      <c r="E72" s="52"/>
      <c r="F72" s="52"/>
      <c r="K72" s="64"/>
      <c r="L72" s="64"/>
      <c r="M72" s="64"/>
    </row>
    <row r="73" spans="2:14" x14ac:dyDescent="0.25">
      <c r="B73" s="53"/>
      <c r="C73" s="54" t="s">
        <v>8</v>
      </c>
      <c r="D73" s="55"/>
      <c r="E73" s="56">
        <v>11900000</v>
      </c>
      <c r="F73" s="56"/>
      <c r="I73" s="25" t="s">
        <v>123</v>
      </c>
      <c r="J73" s="25"/>
      <c r="K73" s="65">
        <f>+E13+E37+E42</f>
        <v>7000000</v>
      </c>
      <c r="L73" s="64"/>
    </row>
    <row r="74" spans="2:14" x14ac:dyDescent="0.25">
      <c r="B74" s="53"/>
      <c r="C74" s="54"/>
      <c r="D74" s="55" t="s">
        <v>1</v>
      </c>
      <c r="E74" s="56"/>
      <c r="F74" s="56">
        <f>+F75*0.19</f>
        <v>1900000</v>
      </c>
      <c r="I74" s="25" t="s">
        <v>124</v>
      </c>
      <c r="J74" s="25"/>
      <c r="K74" s="65">
        <f>+K73*0.7</f>
        <v>4900000</v>
      </c>
      <c r="L74" s="64"/>
      <c r="N74" s="64"/>
    </row>
    <row r="75" spans="2:14" x14ac:dyDescent="0.25">
      <c r="B75" s="53"/>
      <c r="C75" s="54"/>
      <c r="D75" s="55" t="s">
        <v>9</v>
      </c>
      <c r="E75" s="56"/>
      <c r="F75" s="56">
        <f>+E73/1.19</f>
        <v>10000000</v>
      </c>
      <c r="G75" s="43">
        <v>0.08</v>
      </c>
    </row>
    <row r="76" spans="2:14" x14ac:dyDescent="0.25">
      <c r="B76" s="59"/>
      <c r="C76" s="60" t="s">
        <v>125</v>
      </c>
      <c r="D76" s="61"/>
      <c r="E76" s="62"/>
      <c r="F76" s="62"/>
    </row>
    <row r="77" spans="2:14" x14ac:dyDescent="0.25">
      <c r="B77" s="49">
        <v>44650</v>
      </c>
      <c r="C77" s="50" t="s">
        <v>126</v>
      </c>
      <c r="D77" s="51"/>
      <c r="E77" s="52"/>
      <c r="F77" s="52"/>
    </row>
    <row r="78" spans="2:14" x14ac:dyDescent="0.25">
      <c r="B78" s="53"/>
      <c r="C78" s="54" t="s">
        <v>16</v>
      </c>
      <c r="D78" s="55"/>
      <c r="E78" s="56">
        <f>+K74</f>
        <v>4900000</v>
      </c>
      <c r="F78" s="56"/>
    </row>
    <row r="79" spans="2:14" x14ac:dyDescent="0.25">
      <c r="B79" s="53"/>
      <c r="C79" s="54"/>
      <c r="D79" s="55" t="s">
        <v>85</v>
      </c>
      <c r="E79" s="56"/>
      <c r="F79" s="56">
        <f>+E78</f>
        <v>4900000</v>
      </c>
      <c r="G79" s="43">
        <v>0.08</v>
      </c>
    </row>
    <row r="80" spans="2:14" x14ac:dyDescent="0.25">
      <c r="B80" s="59"/>
      <c r="C80" s="60" t="s">
        <v>127</v>
      </c>
      <c r="D80" s="61"/>
      <c r="E80" s="62"/>
      <c r="F80" s="62"/>
      <c r="G80" s="44"/>
    </row>
    <row r="81" spans="7:8" x14ac:dyDescent="0.25">
      <c r="G81" s="38">
        <f>SUM(G5:G80)</f>
        <v>1.2</v>
      </c>
      <c r="H81" s="38" t="s">
        <v>54</v>
      </c>
    </row>
  </sheetData>
  <mergeCells count="2">
    <mergeCell ref="B4:F4"/>
    <mergeCell ref="C5:D5"/>
  </mergeCells>
  <pageMargins left="0.7" right="0.7" top="0.75" bottom="0.75" header="0.3" footer="0.3"/>
  <pageSetup scale="42"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51"/>
  <sheetViews>
    <sheetView showGridLines="0" zoomScaleNormal="100" workbookViewId="0">
      <selection activeCell="B2" sqref="B2:F2"/>
    </sheetView>
  </sheetViews>
  <sheetFormatPr baseColWidth="10" defaultRowHeight="15" x14ac:dyDescent="0.25"/>
  <cols>
    <col min="1" max="1" width="2.7109375" customWidth="1"/>
    <col min="2" max="3" width="23.28515625" customWidth="1"/>
    <col min="4" max="5" width="13" customWidth="1"/>
    <col min="6" max="6" width="4.42578125" bestFit="1" customWidth="1"/>
    <col min="7" max="7" width="9.85546875" bestFit="1" customWidth="1"/>
    <col min="8" max="8" width="8.42578125" bestFit="1" customWidth="1"/>
    <col min="9" max="9" width="2.28515625" customWidth="1"/>
  </cols>
  <sheetData>
    <row r="2" spans="2:8" x14ac:dyDescent="0.25">
      <c r="B2" s="12" t="s">
        <v>36</v>
      </c>
      <c r="C2" s="12"/>
      <c r="D2" s="12"/>
      <c r="E2" s="12"/>
      <c r="F2" s="12"/>
    </row>
    <row r="4" spans="2:8" x14ac:dyDescent="0.25">
      <c r="B4" s="69" t="s">
        <v>2</v>
      </c>
      <c r="C4" s="71"/>
      <c r="D4" s="71"/>
      <c r="E4" s="70"/>
      <c r="G4" s="74" t="str">
        <f>+B7</f>
        <v>IVA Crédito Fiscal</v>
      </c>
      <c r="H4" s="74"/>
    </row>
    <row r="5" spans="2:8" x14ac:dyDescent="0.25">
      <c r="B5" s="72" t="s">
        <v>21</v>
      </c>
      <c r="C5" s="73"/>
      <c r="D5" s="2" t="s">
        <v>4</v>
      </c>
      <c r="E5" s="2" t="s">
        <v>5</v>
      </c>
      <c r="G5" s="1">
        <f>+D7</f>
        <v>237500</v>
      </c>
      <c r="H5" s="15">
        <f>+E31</f>
        <v>76000</v>
      </c>
    </row>
    <row r="6" spans="2:8" x14ac:dyDescent="0.25">
      <c r="B6" s="6" t="s">
        <v>6</v>
      </c>
      <c r="C6" s="5"/>
      <c r="D6" s="10">
        <f>2500*500</f>
        <v>1250000</v>
      </c>
      <c r="E6" s="10"/>
      <c r="F6" s="11"/>
      <c r="G6" s="17">
        <f>+D24</f>
        <v>380000</v>
      </c>
      <c r="H6" s="18"/>
    </row>
    <row r="7" spans="2:8" x14ac:dyDescent="0.25">
      <c r="B7" s="6" t="s">
        <v>0</v>
      </c>
      <c r="C7" s="5"/>
      <c r="D7" s="10">
        <f>D6*19%</f>
        <v>237500</v>
      </c>
      <c r="E7" s="10"/>
      <c r="F7" s="5"/>
      <c r="G7" s="13">
        <f>SUM(G5:G6)</f>
        <v>617500</v>
      </c>
      <c r="H7" s="14">
        <f>SUM(H5:H6)</f>
        <v>76000</v>
      </c>
    </row>
    <row r="8" spans="2:8" x14ac:dyDescent="0.25">
      <c r="B8" s="6"/>
      <c r="C8" s="5" t="s">
        <v>7</v>
      </c>
      <c r="D8" s="10"/>
      <c r="E8" s="10">
        <f>+D6+D7</f>
        <v>1487500</v>
      </c>
      <c r="F8" s="43">
        <v>0.15</v>
      </c>
      <c r="G8" s="19">
        <f>+G7-H7</f>
        <v>541500</v>
      </c>
      <c r="H8" s="15"/>
    </row>
    <row r="9" spans="2:8" x14ac:dyDescent="0.25">
      <c r="B9" s="7" t="s">
        <v>11</v>
      </c>
      <c r="C9" s="8"/>
      <c r="D9" s="8"/>
      <c r="E9" s="9"/>
      <c r="F9" s="5"/>
      <c r="G9" s="1"/>
      <c r="H9" s="15"/>
    </row>
    <row r="10" spans="2:8" x14ac:dyDescent="0.25">
      <c r="E10" s="16"/>
    </row>
    <row r="11" spans="2:8" x14ac:dyDescent="0.25">
      <c r="B11" s="72" t="s">
        <v>22</v>
      </c>
      <c r="C11" s="73"/>
      <c r="D11" s="2" t="s">
        <v>4</v>
      </c>
      <c r="E11" s="2" t="s">
        <v>5</v>
      </c>
      <c r="G11" s="74" t="str">
        <f>+C14</f>
        <v>IVA Débito Fiscal</v>
      </c>
      <c r="H11" s="74"/>
    </row>
    <row r="12" spans="2:8" x14ac:dyDescent="0.25">
      <c r="B12" s="6" t="s">
        <v>8</v>
      </c>
      <c r="C12" s="5"/>
      <c r="D12" s="10">
        <f>+E13+E14</f>
        <v>2023000</v>
      </c>
      <c r="E12" s="10"/>
      <c r="G12" s="1">
        <f>+D36</f>
        <v>48450</v>
      </c>
      <c r="H12" s="15">
        <f>+E14</f>
        <v>323000</v>
      </c>
    </row>
    <row r="13" spans="2:8" x14ac:dyDescent="0.25">
      <c r="B13" s="6"/>
      <c r="C13" s="5" t="s">
        <v>9</v>
      </c>
      <c r="D13" s="10"/>
      <c r="E13" s="10">
        <f>2000*850</f>
        <v>1700000</v>
      </c>
      <c r="G13" s="17"/>
      <c r="H13" s="18"/>
    </row>
    <row r="14" spans="2:8" x14ac:dyDescent="0.25">
      <c r="B14" s="6"/>
      <c r="C14" s="5" t="s">
        <v>1</v>
      </c>
      <c r="D14" s="10"/>
      <c r="E14" s="10">
        <f>E13*19%</f>
        <v>323000</v>
      </c>
      <c r="F14" s="43">
        <v>0.15</v>
      </c>
      <c r="G14" s="13">
        <f>SUM(G12:G13)</f>
        <v>48450</v>
      </c>
      <c r="H14" s="14">
        <f>SUM(H12:H13)</f>
        <v>323000</v>
      </c>
    </row>
    <row r="15" spans="2:8" x14ac:dyDescent="0.25">
      <c r="B15" s="7" t="s">
        <v>12</v>
      </c>
      <c r="C15" s="8"/>
      <c r="D15" s="8"/>
      <c r="E15" s="9"/>
      <c r="G15" s="1"/>
      <c r="H15" s="20">
        <f>+H14-G14</f>
        <v>274550</v>
      </c>
    </row>
    <row r="16" spans="2:8" x14ac:dyDescent="0.25">
      <c r="E16" s="16"/>
      <c r="G16" s="1"/>
      <c r="H16" s="15"/>
    </row>
    <row r="17" spans="2:6" x14ac:dyDescent="0.25">
      <c r="B17" s="72" t="s">
        <v>22</v>
      </c>
      <c r="C17" s="73"/>
      <c r="D17" s="2" t="s">
        <v>4</v>
      </c>
      <c r="E17" s="2" t="s">
        <v>5</v>
      </c>
    </row>
    <row r="18" spans="2:6" x14ac:dyDescent="0.25">
      <c r="B18" s="6" t="s">
        <v>10</v>
      </c>
      <c r="C18" s="5"/>
      <c r="D18" s="10">
        <f>2000*500</f>
        <v>1000000</v>
      </c>
      <c r="E18" s="10"/>
    </row>
    <row r="19" spans="2:6" x14ac:dyDescent="0.25">
      <c r="B19" s="6"/>
      <c r="C19" s="5" t="s">
        <v>6</v>
      </c>
      <c r="D19" s="10"/>
      <c r="E19" s="10">
        <f>+D18</f>
        <v>1000000</v>
      </c>
      <c r="F19" s="43">
        <v>0.15</v>
      </c>
    </row>
    <row r="20" spans="2:6" x14ac:dyDescent="0.25">
      <c r="B20" s="7" t="s">
        <v>13</v>
      </c>
      <c r="C20" s="8"/>
      <c r="D20" s="8"/>
      <c r="E20" s="9"/>
    </row>
    <row r="21" spans="2:6" x14ac:dyDescent="0.25">
      <c r="E21" s="16"/>
    </row>
    <row r="22" spans="2:6" x14ac:dyDescent="0.25">
      <c r="B22" s="72" t="s">
        <v>23</v>
      </c>
      <c r="C22" s="73"/>
      <c r="D22" s="2" t="s">
        <v>4</v>
      </c>
      <c r="E22" s="2" t="s">
        <v>5</v>
      </c>
    </row>
    <row r="23" spans="2:6" x14ac:dyDescent="0.25">
      <c r="B23" s="6" t="s">
        <v>6</v>
      </c>
      <c r="C23" s="5"/>
      <c r="D23" s="10">
        <f>4000*500</f>
        <v>2000000</v>
      </c>
      <c r="E23" s="10"/>
    </row>
    <row r="24" spans="2:6" x14ac:dyDescent="0.25">
      <c r="B24" s="6" t="s">
        <v>0</v>
      </c>
      <c r="C24" s="5"/>
      <c r="D24" s="10">
        <f>D23*19%</f>
        <v>380000</v>
      </c>
      <c r="E24" s="10"/>
    </row>
    <row r="25" spans="2:6" x14ac:dyDescent="0.25">
      <c r="B25" s="6"/>
      <c r="C25" s="5" t="s">
        <v>7</v>
      </c>
      <c r="D25" s="10"/>
      <c r="E25" s="10">
        <f>+D23+D24</f>
        <v>2380000</v>
      </c>
      <c r="F25" s="43">
        <v>0.15</v>
      </c>
    </row>
    <row r="26" spans="2:6" x14ac:dyDescent="0.25">
      <c r="B26" s="7" t="s">
        <v>17</v>
      </c>
      <c r="C26" s="8"/>
      <c r="D26" s="8"/>
      <c r="E26" s="9"/>
    </row>
    <row r="27" spans="2:6" x14ac:dyDescent="0.25">
      <c r="E27" s="16"/>
    </row>
    <row r="28" spans="2:6" x14ac:dyDescent="0.25">
      <c r="B28" s="72" t="s">
        <v>23</v>
      </c>
      <c r="C28" s="73"/>
      <c r="D28" s="2" t="s">
        <v>4</v>
      </c>
      <c r="E28" s="2" t="s">
        <v>5</v>
      </c>
    </row>
    <row r="29" spans="2:6" x14ac:dyDescent="0.25">
      <c r="B29" s="6" t="s">
        <v>7</v>
      </c>
      <c r="C29" s="5"/>
      <c r="D29" s="10">
        <f>+E30+E31</f>
        <v>476000</v>
      </c>
      <c r="E29" s="10"/>
    </row>
    <row r="30" spans="2:6" x14ac:dyDescent="0.25">
      <c r="B30" s="6"/>
      <c r="C30" s="5" t="s">
        <v>6</v>
      </c>
      <c r="D30" s="10"/>
      <c r="E30" s="10">
        <f>800*500</f>
        <v>400000</v>
      </c>
    </row>
    <row r="31" spans="2:6" x14ac:dyDescent="0.25">
      <c r="B31" s="6"/>
      <c r="C31" s="5" t="s">
        <v>0</v>
      </c>
      <c r="D31" s="10"/>
      <c r="E31" s="10">
        <f>E30*19%</f>
        <v>76000</v>
      </c>
      <c r="F31" s="43">
        <v>0.15</v>
      </c>
    </row>
    <row r="32" spans="2:6" x14ac:dyDescent="0.25">
      <c r="B32" s="7" t="s">
        <v>18</v>
      </c>
      <c r="C32" s="8"/>
      <c r="D32" s="8"/>
      <c r="E32" s="9"/>
    </row>
    <row r="33" spans="2:6" x14ac:dyDescent="0.25">
      <c r="E33" s="16"/>
    </row>
    <row r="34" spans="2:6" x14ac:dyDescent="0.25">
      <c r="B34" s="72" t="s">
        <v>24</v>
      </c>
      <c r="C34" s="73"/>
      <c r="D34" s="2" t="s">
        <v>4</v>
      </c>
      <c r="E34" s="2" t="s">
        <v>5</v>
      </c>
    </row>
    <row r="35" spans="2:6" x14ac:dyDescent="0.25">
      <c r="B35" s="6" t="s">
        <v>9</v>
      </c>
      <c r="C35" s="5"/>
      <c r="D35" s="10">
        <f>300*850</f>
        <v>255000</v>
      </c>
      <c r="E35" s="10"/>
    </row>
    <row r="36" spans="2:6" x14ac:dyDescent="0.25">
      <c r="B36" s="6" t="s">
        <v>1</v>
      </c>
      <c r="C36" s="5"/>
      <c r="D36" s="10">
        <f>D35*19%</f>
        <v>48450</v>
      </c>
      <c r="E36" s="10"/>
    </row>
    <row r="37" spans="2:6" x14ac:dyDescent="0.25">
      <c r="B37" s="6"/>
      <c r="C37" s="5" t="s">
        <v>8</v>
      </c>
      <c r="D37" s="10"/>
      <c r="E37" s="10">
        <f>+D35+D36</f>
        <v>303450</v>
      </c>
      <c r="F37" s="43">
        <v>0.15</v>
      </c>
    </row>
    <row r="38" spans="2:6" x14ac:dyDescent="0.25">
      <c r="B38" s="7" t="s">
        <v>14</v>
      </c>
      <c r="C38" s="8"/>
      <c r="D38" s="8"/>
      <c r="E38" s="9"/>
    </row>
    <row r="39" spans="2:6" x14ac:dyDescent="0.25">
      <c r="E39" s="16"/>
    </row>
    <row r="40" spans="2:6" x14ac:dyDescent="0.25">
      <c r="B40" s="72" t="s">
        <v>24</v>
      </c>
      <c r="C40" s="73"/>
      <c r="D40" s="2" t="s">
        <v>4</v>
      </c>
      <c r="E40" s="2" t="s">
        <v>5</v>
      </c>
    </row>
    <row r="41" spans="2:6" x14ac:dyDescent="0.25">
      <c r="B41" s="6" t="s">
        <v>6</v>
      </c>
      <c r="C41" s="5"/>
      <c r="D41" s="10">
        <f>300*500</f>
        <v>150000</v>
      </c>
      <c r="E41" s="10"/>
    </row>
    <row r="42" spans="2:6" x14ac:dyDescent="0.25">
      <c r="B42" s="6"/>
      <c r="C42" s="5" t="s">
        <v>16</v>
      </c>
      <c r="D42" s="10"/>
      <c r="E42" s="10">
        <f>+D41</f>
        <v>150000</v>
      </c>
      <c r="F42" s="43">
        <v>0.15</v>
      </c>
    </row>
    <row r="43" spans="2:6" x14ac:dyDescent="0.25">
      <c r="B43" s="7" t="s">
        <v>15</v>
      </c>
      <c r="C43" s="8"/>
      <c r="D43" s="8"/>
      <c r="E43" s="9"/>
    </row>
    <row r="45" spans="2:6" x14ac:dyDescent="0.25">
      <c r="B45" s="69" t="s">
        <v>2</v>
      </c>
      <c r="C45" s="71"/>
      <c r="D45" s="71"/>
      <c r="E45" s="70"/>
    </row>
    <row r="46" spans="2:6" x14ac:dyDescent="0.25">
      <c r="B46" s="72" t="s">
        <v>3</v>
      </c>
      <c r="C46" s="73"/>
      <c r="D46" s="2" t="s">
        <v>4</v>
      </c>
      <c r="E46" s="2" t="s">
        <v>5</v>
      </c>
    </row>
    <row r="47" spans="2:6" x14ac:dyDescent="0.25">
      <c r="B47" s="6" t="s">
        <v>1</v>
      </c>
      <c r="C47" s="5"/>
      <c r="D47" s="10">
        <f>+H15</f>
        <v>274550</v>
      </c>
      <c r="E47" s="10"/>
    </row>
    <row r="48" spans="2:6" x14ac:dyDescent="0.25">
      <c r="B48" s="6" t="s">
        <v>19</v>
      </c>
      <c r="C48" s="5"/>
      <c r="D48" s="10">
        <f>+E49-D47</f>
        <v>266950</v>
      </c>
      <c r="E48" s="10"/>
    </row>
    <row r="49" spans="2:7" x14ac:dyDescent="0.25">
      <c r="B49" s="6"/>
      <c r="C49" s="5" t="s">
        <v>0</v>
      </c>
      <c r="D49" s="10"/>
      <c r="E49" s="10">
        <f>+G8</f>
        <v>541500</v>
      </c>
      <c r="F49" s="43">
        <v>0.15</v>
      </c>
    </row>
    <row r="50" spans="2:7" x14ac:dyDescent="0.25">
      <c r="B50" s="7" t="s">
        <v>20</v>
      </c>
      <c r="C50" s="3"/>
      <c r="D50" s="3"/>
      <c r="E50" s="4"/>
      <c r="F50" s="44"/>
    </row>
    <row r="51" spans="2:7" x14ac:dyDescent="0.25">
      <c r="E51" s="16"/>
      <c r="F51" s="38">
        <f>SUM(F5:F50)</f>
        <v>1.2</v>
      </c>
      <c r="G51" s="38" t="s">
        <v>54</v>
      </c>
    </row>
  </sheetData>
  <mergeCells count="12">
    <mergeCell ref="G4:H4"/>
    <mergeCell ref="G11:H11"/>
    <mergeCell ref="B17:C17"/>
    <mergeCell ref="B4:E4"/>
    <mergeCell ref="B5:C5"/>
    <mergeCell ref="B11:C11"/>
    <mergeCell ref="B45:E45"/>
    <mergeCell ref="B40:C40"/>
    <mergeCell ref="B22:C22"/>
    <mergeCell ref="B46:C46"/>
    <mergeCell ref="B34:C34"/>
    <mergeCell ref="B28:C28"/>
  </mergeCells>
  <pageMargins left="0.7" right="0.7" top="0.75" bottom="0.75" header="0.3" footer="0.3"/>
  <pageSetup scale="9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5"/>
  <sheetViews>
    <sheetView showGridLines="0" workbookViewId="0">
      <selection activeCell="N18" sqref="N18"/>
    </sheetView>
  </sheetViews>
  <sheetFormatPr baseColWidth="10" defaultRowHeight="15" x14ac:dyDescent="0.25"/>
  <cols>
    <col min="1" max="1" width="3.42578125" customWidth="1"/>
    <col min="2" max="2" width="10.5703125" customWidth="1"/>
    <col min="3" max="3" width="18.7109375" bestFit="1" customWidth="1"/>
    <col min="4" max="4" width="10.42578125" customWidth="1"/>
    <col min="5" max="5" width="10.28515625" customWidth="1"/>
    <col min="6" max="6" width="7.7109375" customWidth="1"/>
    <col min="7" max="7" width="9.42578125" customWidth="1"/>
    <col min="8" max="8" width="9.28515625" customWidth="1"/>
    <col min="9" max="9" width="10" bestFit="1" customWidth="1"/>
    <col min="10" max="10" width="10.7109375" customWidth="1"/>
    <col min="11" max="11" width="11.7109375" bestFit="1" customWidth="1"/>
    <col min="12" max="12" width="9.42578125" customWidth="1"/>
    <col min="13" max="13" width="5" bestFit="1" customWidth="1"/>
  </cols>
  <sheetData>
    <row r="2" spans="2:13" x14ac:dyDescent="0.25">
      <c r="B2" s="12" t="s">
        <v>49</v>
      </c>
      <c r="C2" s="12"/>
      <c r="D2" s="12"/>
      <c r="E2" s="12"/>
      <c r="F2" s="12"/>
      <c r="G2" s="28"/>
      <c r="H2" s="26"/>
      <c r="I2" s="26"/>
      <c r="J2" s="26"/>
      <c r="K2" s="26"/>
      <c r="L2" s="28"/>
    </row>
    <row r="3" spans="2:13" x14ac:dyDescent="0.25">
      <c r="E3" s="24"/>
      <c r="F3" s="24"/>
      <c r="G3" s="24"/>
      <c r="H3" s="24"/>
      <c r="I3" s="24"/>
      <c r="J3" s="24"/>
      <c r="K3" s="24"/>
    </row>
    <row r="4" spans="2:13" ht="15.75" x14ac:dyDescent="0.25">
      <c r="B4" s="75" t="s">
        <v>50</v>
      </c>
      <c r="C4" s="75"/>
      <c r="D4" s="75"/>
      <c r="E4" s="75"/>
      <c r="F4" s="75"/>
      <c r="G4" s="75"/>
      <c r="H4" s="75"/>
      <c r="I4" s="75"/>
      <c r="J4" s="75"/>
      <c r="K4" s="75"/>
      <c r="L4" s="75"/>
    </row>
    <row r="6" spans="2:13" x14ac:dyDescent="0.25">
      <c r="B6" s="76" t="s">
        <v>40</v>
      </c>
      <c r="C6" s="76" t="s">
        <v>41</v>
      </c>
      <c r="D6" s="76" t="s">
        <v>51</v>
      </c>
      <c r="E6" s="76" t="s">
        <v>37</v>
      </c>
      <c r="F6" s="76"/>
      <c r="G6" s="76"/>
      <c r="H6" s="76" t="s">
        <v>38</v>
      </c>
      <c r="I6" s="76"/>
      <c r="J6" s="76"/>
      <c r="K6" s="76" t="s">
        <v>52</v>
      </c>
      <c r="L6" s="76" t="s">
        <v>39</v>
      </c>
    </row>
    <row r="7" spans="2:13" x14ac:dyDescent="0.25">
      <c r="B7" s="76"/>
      <c r="C7" s="76"/>
      <c r="D7" s="76"/>
      <c r="E7" s="30" t="s">
        <v>42</v>
      </c>
      <c r="F7" s="30" t="s">
        <v>43</v>
      </c>
      <c r="G7" s="30" t="s">
        <v>53</v>
      </c>
      <c r="H7" s="30" t="s">
        <v>42</v>
      </c>
      <c r="I7" s="30" t="s">
        <v>43</v>
      </c>
      <c r="J7" s="30" t="s">
        <v>53</v>
      </c>
      <c r="K7" s="76"/>
      <c r="L7" s="76"/>
    </row>
    <row r="8" spans="2:13" x14ac:dyDescent="0.25">
      <c r="B8" s="31">
        <v>44653</v>
      </c>
      <c r="C8" s="29" t="s">
        <v>44</v>
      </c>
      <c r="D8" s="34"/>
      <c r="E8" s="34"/>
      <c r="F8" s="34"/>
      <c r="G8" s="32">
        <v>5550</v>
      </c>
      <c r="H8" s="34"/>
      <c r="I8" s="34"/>
      <c r="J8" s="32">
        <v>1082250</v>
      </c>
      <c r="K8" s="33"/>
      <c r="L8" s="33">
        <f>J8/G8</f>
        <v>195</v>
      </c>
      <c r="M8" s="38">
        <v>0.12</v>
      </c>
    </row>
    <row r="9" spans="2:13" x14ac:dyDescent="0.25">
      <c r="B9" s="31">
        <v>44655</v>
      </c>
      <c r="C9" s="29" t="s">
        <v>45</v>
      </c>
      <c r="D9" s="34">
        <f>((523600/1.19)/2200)</f>
        <v>200</v>
      </c>
      <c r="E9" s="32">
        <v>2200</v>
      </c>
      <c r="F9" s="34"/>
      <c r="G9" s="32">
        <f>+E9+G8-F9</f>
        <v>7750</v>
      </c>
      <c r="H9" s="32">
        <f>+D9*E9</f>
        <v>440000</v>
      </c>
      <c r="I9" s="34"/>
      <c r="J9" s="32">
        <f>H9+J8-I9</f>
        <v>1522250</v>
      </c>
      <c r="K9" s="33"/>
      <c r="L9" s="33">
        <f t="shared" ref="L9:L17" si="0">J9/G9</f>
        <v>196.41935483870967</v>
      </c>
      <c r="M9" s="38">
        <v>0.12</v>
      </c>
    </row>
    <row r="10" spans="2:13" x14ac:dyDescent="0.25">
      <c r="B10" s="31">
        <v>44659</v>
      </c>
      <c r="C10" s="29" t="s">
        <v>45</v>
      </c>
      <c r="D10" s="34">
        <v>198</v>
      </c>
      <c r="E10" s="32">
        <v>1500</v>
      </c>
      <c r="F10" s="34"/>
      <c r="G10" s="32">
        <f t="shared" ref="G10:G16" si="1">+E10+G9-F10</f>
        <v>9250</v>
      </c>
      <c r="H10" s="32">
        <f>+D10*E10</f>
        <v>297000</v>
      </c>
      <c r="I10" s="34"/>
      <c r="J10" s="32">
        <f t="shared" ref="J10:J16" si="2">H10+J9-I10</f>
        <v>1819250</v>
      </c>
      <c r="K10" s="33"/>
      <c r="L10" s="33">
        <f t="shared" si="0"/>
        <v>196.67567567567568</v>
      </c>
      <c r="M10" s="38">
        <v>0.12</v>
      </c>
    </row>
    <row r="11" spans="2:13" x14ac:dyDescent="0.25">
      <c r="B11" s="31">
        <v>44661</v>
      </c>
      <c r="C11" s="29" t="s">
        <v>46</v>
      </c>
      <c r="D11" s="34"/>
      <c r="E11" s="34"/>
      <c r="F11" s="32">
        <v>6000</v>
      </c>
      <c r="G11" s="32">
        <f t="shared" si="1"/>
        <v>3250</v>
      </c>
      <c r="H11" s="34"/>
      <c r="I11" s="32">
        <f>F11*L10</f>
        <v>1180054.054054054</v>
      </c>
      <c r="J11" s="32">
        <f t="shared" si="2"/>
        <v>639195.94594594603</v>
      </c>
      <c r="K11" s="33">
        <f>+L10</f>
        <v>196.67567567567568</v>
      </c>
      <c r="L11" s="33">
        <f t="shared" si="0"/>
        <v>196.67567567567571</v>
      </c>
      <c r="M11" s="38">
        <v>0.12</v>
      </c>
    </row>
    <row r="12" spans="2:13" x14ac:dyDescent="0.25">
      <c r="B12" s="31">
        <v>44666</v>
      </c>
      <c r="C12" s="29" t="s">
        <v>45</v>
      </c>
      <c r="D12" s="34">
        <v>200</v>
      </c>
      <c r="E12" s="32">
        <v>500</v>
      </c>
      <c r="F12" s="34"/>
      <c r="G12" s="32">
        <f t="shared" si="1"/>
        <v>3750</v>
      </c>
      <c r="H12" s="32">
        <f>+E12*D12</f>
        <v>100000</v>
      </c>
      <c r="I12" s="34"/>
      <c r="J12" s="32">
        <f t="shared" si="2"/>
        <v>739195.94594594603</v>
      </c>
      <c r="K12" s="33"/>
      <c r="L12" s="33">
        <f t="shared" si="0"/>
        <v>197.11891891891895</v>
      </c>
      <c r="M12" s="38">
        <v>0.12</v>
      </c>
    </row>
    <row r="13" spans="2:13" x14ac:dyDescent="0.25">
      <c r="B13" s="31">
        <v>44670</v>
      </c>
      <c r="C13" s="29" t="s">
        <v>46</v>
      </c>
      <c r="D13" s="34"/>
      <c r="E13" s="34"/>
      <c r="F13" s="32">
        <v>800</v>
      </c>
      <c r="G13" s="32">
        <f t="shared" si="1"/>
        <v>2950</v>
      </c>
      <c r="H13" s="34"/>
      <c r="I13" s="32">
        <f>L12*F13</f>
        <v>157695.13513513515</v>
      </c>
      <c r="J13" s="32">
        <f t="shared" si="2"/>
        <v>581500.81081081089</v>
      </c>
      <c r="K13" s="33">
        <f>+L12</f>
        <v>197.11891891891895</v>
      </c>
      <c r="L13" s="33">
        <f t="shared" si="0"/>
        <v>197.11891891891895</v>
      </c>
      <c r="M13" s="38">
        <v>0.12</v>
      </c>
    </row>
    <row r="14" spans="2:13" x14ac:dyDescent="0.25">
      <c r="B14" s="31">
        <v>44673</v>
      </c>
      <c r="C14" s="29" t="s">
        <v>47</v>
      </c>
      <c r="D14" s="34"/>
      <c r="E14" s="32">
        <v>100</v>
      </c>
      <c r="F14" s="34"/>
      <c r="G14" s="32">
        <f t="shared" si="1"/>
        <v>3050</v>
      </c>
      <c r="H14" s="32">
        <f>E14*L13</f>
        <v>19711.891891891893</v>
      </c>
      <c r="I14" s="34"/>
      <c r="J14" s="32">
        <f t="shared" si="2"/>
        <v>601212.70270270272</v>
      </c>
      <c r="K14" s="33"/>
      <c r="L14" s="33">
        <f t="shared" si="0"/>
        <v>197.11891891891892</v>
      </c>
      <c r="M14" s="38">
        <v>0.12</v>
      </c>
    </row>
    <row r="15" spans="2:13" x14ac:dyDescent="0.25">
      <c r="B15" s="31">
        <v>44679</v>
      </c>
      <c r="C15" s="29" t="s">
        <v>45</v>
      </c>
      <c r="D15" s="34">
        <f>(((178500/1.19)+(7500))/750)</f>
        <v>210</v>
      </c>
      <c r="E15" s="32">
        <v>750</v>
      </c>
      <c r="F15" s="34"/>
      <c r="G15" s="32">
        <f t="shared" si="1"/>
        <v>3800</v>
      </c>
      <c r="H15" s="32">
        <f>+E15*D15</f>
        <v>157500</v>
      </c>
      <c r="I15" s="34"/>
      <c r="J15" s="32">
        <f t="shared" si="2"/>
        <v>758712.70270270272</v>
      </c>
      <c r="K15" s="33"/>
      <c r="L15" s="33">
        <f t="shared" si="0"/>
        <v>199.66123755334283</v>
      </c>
      <c r="M15" s="38">
        <v>0.12</v>
      </c>
    </row>
    <row r="16" spans="2:13" x14ac:dyDescent="0.25">
      <c r="B16" s="31">
        <v>44681</v>
      </c>
      <c r="C16" s="29" t="s">
        <v>48</v>
      </c>
      <c r="D16" s="34"/>
      <c r="E16" s="34"/>
      <c r="F16" s="32">
        <f>(3800-3750)</f>
        <v>50</v>
      </c>
      <c r="G16" s="32">
        <f t="shared" si="1"/>
        <v>3750</v>
      </c>
      <c r="H16" s="34"/>
      <c r="I16" s="32">
        <f>L15*F16</f>
        <v>9983.0618776671417</v>
      </c>
      <c r="J16" s="32">
        <f t="shared" si="2"/>
        <v>748729.64082503563</v>
      </c>
      <c r="K16" s="33">
        <f>+L15</f>
        <v>199.66123755334283</v>
      </c>
      <c r="L16" s="33">
        <f t="shared" si="0"/>
        <v>199.66123755334283</v>
      </c>
      <c r="M16" s="38">
        <v>0.12</v>
      </c>
    </row>
    <row r="17" spans="2:14" x14ac:dyDescent="0.25">
      <c r="B17" s="35"/>
      <c r="C17" s="35"/>
      <c r="D17" s="35"/>
      <c r="E17" s="35"/>
      <c r="F17" s="35"/>
      <c r="G17" s="36">
        <f>+G16</f>
        <v>3750</v>
      </c>
      <c r="H17" s="35"/>
      <c r="I17" s="35"/>
      <c r="J17" s="36">
        <f>+J16</f>
        <v>748729.64082503563</v>
      </c>
      <c r="K17" s="35"/>
      <c r="L17" s="37">
        <f t="shared" si="0"/>
        <v>199.66123755334283</v>
      </c>
      <c r="M17" s="39">
        <v>0.12</v>
      </c>
    </row>
    <row r="18" spans="2:14" x14ac:dyDescent="0.25">
      <c r="E18" s="24"/>
      <c r="F18" s="24"/>
      <c r="G18" s="24"/>
      <c r="H18" s="24"/>
      <c r="I18" s="24"/>
      <c r="J18" s="24"/>
      <c r="K18" s="24"/>
      <c r="M18" s="38">
        <f>SUM(M8:M17)</f>
        <v>1.2000000000000002</v>
      </c>
      <c r="N18" s="38" t="s">
        <v>54</v>
      </c>
    </row>
    <row r="19" spans="2:14" x14ac:dyDescent="0.25">
      <c r="E19" s="24"/>
      <c r="F19" s="24"/>
      <c r="G19" s="24"/>
      <c r="H19" s="24"/>
      <c r="I19" s="24"/>
      <c r="J19" s="24"/>
      <c r="K19" s="24"/>
    </row>
    <row r="20" spans="2:14" x14ac:dyDescent="0.25">
      <c r="E20" s="24"/>
      <c r="F20" s="24"/>
      <c r="G20" s="24"/>
      <c r="H20" s="24"/>
      <c r="I20" s="24"/>
      <c r="J20" s="24"/>
      <c r="K20" s="24"/>
    </row>
    <row r="21" spans="2:14" x14ac:dyDescent="0.25">
      <c r="E21" s="24"/>
      <c r="F21" s="24"/>
      <c r="G21" s="24"/>
      <c r="H21" s="24"/>
      <c r="I21" s="24"/>
      <c r="J21" s="24"/>
      <c r="K21" s="24"/>
    </row>
    <row r="22" spans="2:14" x14ac:dyDescent="0.25">
      <c r="E22" s="24"/>
      <c r="F22" s="24"/>
      <c r="G22" s="24"/>
      <c r="H22" s="24"/>
      <c r="I22" s="24"/>
      <c r="J22" s="24"/>
      <c r="K22" s="24"/>
    </row>
    <row r="23" spans="2:14" x14ac:dyDescent="0.25">
      <c r="E23" s="24"/>
      <c r="F23" s="24"/>
      <c r="G23" s="24"/>
      <c r="H23" s="24"/>
      <c r="I23" s="24"/>
      <c r="J23" s="24"/>
      <c r="K23" s="24"/>
    </row>
    <row r="24" spans="2:14" x14ac:dyDescent="0.25">
      <c r="L24" s="27"/>
    </row>
    <row r="25" spans="2:14" x14ac:dyDescent="0.25">
      <c r="L25" s="27"/>
    </row>
  </sheetData>
  <mergeCells count="8">
    <mergeCell ref="B4:L4"/>
    <mergeCell ref="B6:B7"/>
    <mergeCell ref="C6:C7"/>
    <mergeCell ref="D6:D7"/>
    <mergeCell ref="E6:G6"/>
    <mergeCell ref="H6:J6"/>
    <mergeCell ref="K6:K7"/>
    <mergeCell ref="L6:L7"/>
  </mergeCells>
  <pageMargins left="0.7" right="0.7" top="0.75" bottom="0.75" header="0.3" footer="0.3"/>
  <pageSetup scale="88"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Ejercicio 1</vt:lpstr>
      <vt:lpstr>Ejercicio 2</vt:lpstr>
      <vt:lpstr>Ejercicio 3</vt:lpstr>
      <vt:lpstr>Ejercicio 4</vt:lpstr>
      <vt:lpstr>Ejercicio 5</vt:lpstr>
      <vt:lpstr>'Ejercicio 1'!Área_de_impresión</vt:lpstr>
      <vt:lpstr>'Ejercicio 2'!Área_de_impresión</vt:lpstr>
      <vt:lpstr>'Ejercicio 3'!Área_de_impresión</vt:lpstr>
      <vt:lpstr>'Ejercicio 4'!Área_de_impresión</vt:lpstr>
      <vt:lpstr>'Ejercicio 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Aladino</dc:creator>
  <cp:lastModifiedBy>luis jara</cp:lastModifiedBy>
  <cp:lastPrinted>2022-05-05T17:29:26Z</cp:lastPrinted>
  <dcterms:created xsi:type="dcterms:W3CDTF">2021-06-07T21:16:34Z</dcterms:created>
  <dcterms:modified xsi:type="dcterms:W3CDTF">2022-05-09T18:18:00Z</dcterms:modified>
</cp:coreProperties>
</file>